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snb.ch\daten\appsdata\PRIMA\Templates für PRIMA\Koordinatenbasierte EHM\BSTA\CSIB_CRSABIS\01.07.2023\"/>
    </mc:Choice>
  </mc:AlternateContent>
  <bookViews>
    <workbookView xWindow="1635" yWindow="465" windowWidth="22575" windowHeight="21015" tabRatio="683"/>
  </bookViews>
  <sheets>
    <sheet name="Delivery note" sheetId="1" r:id="rId1"/>
    <sheet name="CSIB_CASABISIRB.MELD" sheetId="20" r:id="rId2"/>
    <sheet name="CSIB_CRSABIS_01.MELD" sheetId="3" r:id="rId3"/>
    <sheet name="CSIB_CRSABIS_02.MELD" sheetId="4" r:id="rId4"/>
    <sheet name="CSIB_CRSABIS_03.MELD" sheetId="5" r:id="rId5"/>
    <sheet name="CSIB_CRSABIS_04.MELD" sheetId="6" r:id="rId6"/>
    <sheet name="CSIB_CRSABIS_05.MELD" sheetId="7" r:id="rId7"/>
    <sheet name="CSIB_CRSABIS_06.MELD" sheetId="8" r:id="rId8"/>
    <sheet name="CSIB_CRSABIS_07.MELD" sheetId="9" r:id="rId9"/>
    <sheet name="CSIB_CRFUNDS.MELD" sheetId="16" r:id="rId10"/>
    <sheet name="CSIB_LERA_BIS.MELD" sheetId="13" r:id="rId11"/>
    <sheet name="CSIB_MKR_BIS.MELD" sheetId="10" r:id="rId12"/>
    <sheet name="CSIB_CRSABIS.CNTR" sheetId="11" r:id="rId13"/>
  </sheets>
  <externalReferences>
    <externalReference r:id="rId14"/>
  </externalReferences>
  <definedNames>
    <definedName name="_xlnm.Print_Area" localSheetId="1">'CSIB_CASABISIRB.MELD'!$A$9:$J$842</definedName>
    <definedName name="_xlnm.Print_Area" localSheetId="9">'CSIB_CRFUNDS.MELD'!$E$10:$L$41</definedName>
    <definedName name="_xlnm.Print_Area" localSheetId="12">'CSIB_CRSABIS.CNTR'!$A$1:$H$63</definedName>
    <definedName name="_xlnm.Print_Area" localSheetId="2">'CSIB_CRSABIS_01.MELD'!$D$1:$V$36</definedName>
    <definedName name="_xlnm.Print_Area" localSheetId="3">'CSIB_CRSABIS_02.MELD'!$D$1:$V$36</definedName>
    <definedName name="_xlnm.Print_Area" localSheetId="4">'CSIB_CRSABIS_03.MELD'!$D$1:$V$36</definedName>
    <definedName name="_xlnm.Print_Area" localSheetId="5">'CSIB_CRSABIS_04.MELD'!$D$1:$V$36</definedName>
    <definedName name="_xlnm.Print_Area" localSheetId="6">'CSIB_CRSABIS_05.MELD'!$D$1:$V$36</definedName>
    <definedName name="_xlnm.Print_Area" localSheetId="7">'CSIB_CRSABIS_06.MELD'!$D$1:$V$36</definedName>
    <definedName name="_xlnm.Print_Area" localSheetId="8">'CSIB_CRSABIS_07.MELD'!$D$1:$V$36</definedName>
    <definedName name="_xlnm.Print_Area" localSheetId="10">'CSIB_LERA_BIS.MELD'!$A$9:$J$50</definedName>
    <definedName name="_xlnm.Print_Area" localSheetId="11">'CSIB_MKR_BIS.MELD'!$A$11:$L$170</definedName>
    <definedName name="_xlnm.Print_Area" localSheetId="0">'Delivery note'!$A$1:$H$52</definedName>
    <definedName name="_xlnm.Print_Titles" localSheetId="1">'CSIB_CASABISIRB.MELD'!$1:$10</definedName>
    <definedName name="_xlnm.Print_Titles" localSheetId="9">'CSIB_CRFUNDS.MELD'!$A:$D,'CSIB_CRFUNDS.MELD'!$1:$9</definedName>
    <definedName name="_xlnm.Print_Titles" localSheetId="12">'CSIB_CRSABIS.CNTR'!$1:$7</definedName>
    <definedName name="_xlnm.Print_Titles" localSheetId="2">'CSIB_CRSABIS_01.MELD'!$A:$C</definedName>
    <definedName name="_xlnm.Print_Titles" localSheetId="3">'CSIB_CRSABIS_02.MELD'!$A:$C</definedName>
    <definedName name="_xlnm.Print_Titles" localSheetId="4">'CSIB_CRSABIS_03.MELD'!$A:$C</definedName>
    <definedName name="_xlnm.Print_Titles" localSheetId="5">'CSIB_CRSABIS_04.MELD'!$A:$C</definedName>
    <definedName name="_xlnm.Print_Titles" localSheetId="6">'CSIB_CRSABIS_05.MELD'!$A:$C</definedName>
    <definedName name="_xlnm.Print_Titles" localSheetId="7">'CSIB_CRSABIS_06.MELD'!$A:$C</definedName>
    <definedName name="_xlnm.Print_Titles" localSheetId="8">'CSIB_CRSABIS_07.MELD'!$A:$C</definedName>
    <definedName name="_xlnm.Print_Titles" localSheetId="10">'CSIB_LERA_BIS.MELD'!$1:$10</definedName>
    <definedName name="_xlnm.Print_Titles" localSheetId="11">'CSIB_MKR_BIS.MELD'!$1:$10</definedName>
    <definedName name="P_Subtitle">'Delivery note'!$B$7</definedName>
    <definedName name="P_Title">'Delivery note'!$B$8</definedName>
    <definedName name="Z_4435029F_2F1B_45E2_BFDE_13E66716A0E9_.wvu.PrintArea" localSheetId="12" hidden="1">'CSIB_CRSABIS.CNTR'!$A$1:$H$63</definedName>
    <definedName name="Z_4435029F_2F1B_45E2_BFDE_13E66716A0E9_.wvu.PrintArea" localSheetId="2" hidden="1">'CSIB_CRSABIS_01.MELD'!$D$1:$V$36</definedName>
    <definedName name="Z_4435029F_2F1B_45E2_BFDE_13E66716A0E9_.wvu.PrintArea" localSheetId="3" hidden="1">'CSIB_CRSABIS_02.MELD'!$D$1:$V$36</definedName>
    <definedName name="Z_4435029F_2F1B_45E2_BFDE_13E66716A0E9_.wvu.PrintArea" localSheetId="4" hidden="1">'CSIB_CRSABIS_03.MELD'!$D$1:$V$36</definedName>
    <definedName name="Z_4435029F_2F1B_45E2_BFDE_13E66716A0E9_.wvu.PrintArea" localSheetId="5" hidden="1">'CSIB_CRSABIS_04.MELD'!$D$1:$V$36</definedName>
    <definedName name="Z_4435029F_2F1B_45E2_BFDE_13E66716A0E9_.wvu.PrintArea" localSheetId="6" hidden="1">'CSIB_CRSABIS_05.MELD'!$D$1:$V$36</definedName>
    <definedName name="Z_4435029F_2F1B_45E2_BFDE_13E66716A0E9_.wvu.PrintArea" localSheetId="7" hidden="1">'CSIB_CRSABIS_06.MELD'!$D$1:$V$36</definedName>
    <definedName name="Z_4435029F_2F1B_45E2_BFDE_13E66716A0E9_.wvu.PrintArea" localSheetId="8" hidden="1">'CSIB_CRSABIS_07.MELD'!$D$1:$V$36</definedName>
    <definedName name="Z_4435029F_2F1B_45E2_BFDE_13E66716A0E9_.wvu.PrintArea" localSheetId="11" hidden="1">'CSIB_MKR_BIS.MELD'!$A$11:$L$170</definedName>
    <definedName name="Z_4435029F_2F1B_45E2_BFDE_13E66716A0E9_.wvu.PrintArea" localSheetId="0" hidden="1">'Delivery note'!$A$1:$H$52</definedName>
    <definedName name="Z_4435029F_2F1B_45E2_BFDE_13E66716A0E9_.wvu.PrintTitles" localSheetId="12" hidden="1">'CSIB_CRSABIS.CNTR'!$1:$7</definedName>
    <definedName name="Z_4435029F_2F1B_45E2_BFDE_13E66716A0E9_.wvu.PrintTitles" localSheetId="2" hidden="1">'CSIB_CRSABIS_01.MELD'!$A:$C</definedName>
    <definedName name="Z_4435029F_2F1B_45E2_BFDE_13E66716A0E9_.wvu.PrintTitles" localSheetId="3" hidden="1">'CSIB_CRSABIS_02.MELD'!$A:$C</definedName>
    <definedName name="Z_4435029F_2F1B_45E2_BFDE_13E66716A0E9_.wvu.PrintTitles" localSheetId="4" hidden="1">'CSIB_CRSABIS_03.MELD'!$A:$C</definedName>
    <definedName name="Z_4435029F_2F1B_45E2_BFDE_13E66716A0E9_.wvu.PrintTitles" localSheetId="5" hidden="1">'CSIB_CRSABIS_04.MELD'!$A:$C</definedName>
    <definedName name="Z_4435029F_2F1B_45E2_BFDE_13E66716A0E9_.wvu.PrintTitles" localSheetId="6" hidden="1">'CSIB_CRSABIS_05.MELD'!$A:$C</definedName>
    <definedName name="Z_4435029F_2F1B_45E2_BFDE_13E66716A0E9_.wvu.PrintTitles" localSheetId="7" hidden="1">'CSIB_CRSABIS_06.MELD'!$A:$C</definedName>
    <definedName name="Z_4435029F_2F1B_45E2_BFDE_13E66716A0E9_.wvu.PrintTitles" localSheetId="8" hidden="1">'CSIB_CRSABIS_07.MELD'!$A:$C</definedName>
    <definedName name="Z_4435029F_2F1B_45E2_BFDE_13E66716A0E9_.wvu.PrintTitles" localSheetId="11" hidden="1">'CSIB_MKR_BIS.MELD'!$1:$10</definedName>
    <definedName name="Z_4435029F_2F1B_45E2_BFDE_13E66716A0E9_.wvu.Rows" localSheetId="12" hidden="1">'CSIB_CRSABIS.CNTR'!$10:$23,'CSIB_CRSABIS.CNTR'!$28:$57</definedName>
    <definedName name="Z_4435029F_2F1B_45E2_BFDE_13E66716A0E9_.wvu.Rows" localSheetId="0" hidden="1">'Delivery note'!$17:$17,'Delivery note'!$38:$39</definedName>
  </definedNames>
  <calcPr calcId="162913"/>
  <customWorkbookViews>
    <customWorkbookView name="Herzog Monika - Persönliche Ansicht" guid="{4435029F-2F1B-45E2-BFDE-13E66716A0E9}" mergeInterval="0" personalView="1" xWindow="447" yWindow="111" windowWidth="1701" windowHeight="918" tabRatio="683" activeSheetId="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09" i="20" l="1"/>
  <c r="L648" i="20"/>
  <c r="L618" i="20"/>
  <c r="D71" i="11" l="1"/>
  <c r="D69" i="11"/>
  <c r="D67" i="11"/>
  <c r="D65" i="11"/>
  <c r="D63" i="11"/>
  <c r="D61" i="11"/>
  <c r="D59" i="11"/>
  <c r="D27" i="11"/>
  <c r="B71" i="11"/>
  <c r="B69" i="11"/>
  <c r="B67" i="11"/>
  <c r="B65" i="11"/>
  <c r="B63" i="11"/>
  <c r="B61" i="11"/>
  <c r="B59" i="11"/>
  <c r="B27" i="11"/>
  <c r="I475" i="20" l="1"/>
  <c r="I474" i="20"/>
  <c r="L474" i="20" s="1"/>
  <c r="I473" i="20"/>
  <c r="I411" i="20"/>
  <c r="I410" i="20"/>
  <c r="I409" i="20"/>
  <c r="I408" i="20"/>
  <c r="I3" i="20"/>
  <c r="I570" i="20" s="1"/>
  <c r="I2" i="20"/>
  <c r="D844" i="20" s="1"/>
  <c r="D848" i="20"/>
  <c r="D845" i="20"/>
  <c r="B837" i="20"/>
  <c r="L835" i="20"/>
  <c r="L834" i="20"/>
  <c r="L831" i="20"/>
  <c r="L830" i="20"/>
  <c r="I829" i="20"/>
  <c r="L828" i="20"/>
  <c r="L827" i="20"/>
  <c r="L826" i="20"/>
  <c r="L825" i="20"/>
  <c r="L824" i="20"/>
  <c r="L823" i="20"/>
  <c r="L822" i="20"/>
  <c r="L821" i="20"/>
  <c r="L819" i="20"/>
  <c r="L816" i="20"/>
  <c r="L815" i="20"/>
  <c r="L814" i="20"/>
  <c r="L813" i="20"/>
  <c r="L811" i="20"/>
  <c r="L810" i="20"/>
  <c r="L809" i="20"/>
  <c r="L808" i="20"/>
  <c r="I807" i="20"/>
  <c r="L807" i="20" s="1"/>
  <c r="L806" i="20"/>
  <c r="L805" i="20"/>
  <c r="L804" i="20"/>
  <c r="L803" i="20"/>
  <c r="L802" i="20"/>
  <c r="L801" i="20"/>
  <c r="I800" i="20"/>
  <c r="L800" i="20" s="1"/>
  <c r="L799" i="20"/>
  <c r="L798" i="20"/>
  <c r="L797" i="20"/>
  <c r="L796" i="20"/>
  <c r="L794" i="20"/>
  <c r="L793" i="20"/>
  <c r="L792" i="20"/>
  <c r="L791" i="20"/>
  <c r="L790" i="20"/>
  <c r="L789" i="20"/>
  <c r="L788" i="20"/>
  <c r="L787" i="20"/>
  <c r="L786" i="20"/>
  <c r="I782" i="20"/>
  <c r="L782" i="20" s="1"/>
  <c r="I781" i="20"/>
  <c r="L781" i="20" s="1"/>
  <c r="L780" i="20"/>
  <c r="L779" i="20"/>
  <c r="L778" i="20"/>
  <c r="L777" i="20"/>
  <c r="L776" i="20"/>
  <c r="L775" i="20"/>
  <c r="L774" i="20"/>
  <c r="L773" i="20"/>
  <c r="L772" i="20"/>
  <c r="L771" i="20"/>
  <c r="L770" i="20"/>
  <c r="L769" i="20"/>
  <c r="L768" i="20"/>
  <c r="I764" i="20"/>
  <c r="L764" i="20" s="1"/>
  <c r="I758" i="20"/>
  <c r="L716" i="20"/>
  <c r="L715" i="20"/>
  <c r="L714" i="20"/>
  <c r="L713" i="20"/>
  <c r="L712" i="20"/>
  <c r="L711" i="20"/>
  <c r="L710" i="20"/>
  <c r="L708" i="20"/>
  <c r="I695" i="20"/>
  <c r="I667" i="20" s="1"/>
  <c r="I694" i="20"/>
  <c r="I693" i="20"/>
  <c r="I665" i="20" s="1"/>
  <c r="L685" i="20"/>
  <c r="I672" i="20"/>
  <c r="I666" i="20"/>
  <c r="I661" i="20"/>
  <c r="I700" i="20" s="1"/>
  <c r="I655" i="20"/>
  <c r="L647" i="20"/>
  <c r="L646" i="20"/>
  <c r="I644" i="20"/>
  <c r="L644" i="20" s="1"/>
  <c r="L643" i="20"/>
  <c r="L642" i="20"/>
  <c r="L641" i="20"/>
  <c r="L640" i="20"/>
  <c r="L639" i="20"/>
  <c r="I636" i="20"/>
  <c r="I631" i="20" s="1"/>
  <c r="L635" i="20"/>
  <c r="L634" i="20"/>
  <c r="I632" i="20"/>
  <c r="I623" i="20"/>
  <c r="L617" i="20"/>
  <c r="L616" i="20"/>
  <c r="I614" i="20"/>
  <c r="L614" i="20" s="1"/>
  <c r="L613" i="20"/>
  <c r="L612" i="20"/>
  <c r="L611" i="20"/>
  <c r="L610" i="20"/>
  <c r="L609" i="20"/>
  <c r="I606" i="20"/>
  <c r="L608" i="20" s="1"/>
  <c r="L605" i="20"/>
  <c r="L604" i="20"/>
  <c r="I602" i="20"/>
  <c r="L600" i="20"/>
  <c r="L599" i="20"/>
  <c r="I598" i="20"/>
  <c r="L597" i="20"/>
  <c r="L596" i="20"/>
  <c r="I595" i="20"/>
  <c r="I585" i="20"/>
  <c r="I576" i="20"/>
  <c r="L572" i="20"/>
  <c r="I566" i="20"/>
  <c r="L562" i="20"/>
  <c r="I553" i="20"/>
  <c r="I548" i="20"/>
  <c r="I537" i="20"/>
  <c r="I532" i="20"/>
  <c r="I526" i="20"/>
  <c r="L519" i="20"/>
  <c r="L518" i="20"/>
  <c r="L516" i="20"/>
  <c r="L515" i="20"/>
  <c r="L513" i="20"/>
  <c r="L512" i="20"/>
  <c r="L509" i="20"/>
  <c r="L507" i="20"/>
  <c r="L506" i="20"/>
  <c r="L505" i="20"/>
  <c r="L504" i="20"/>
  <c r="L498" i="20"/>
  <c r="L497" i="20"/>
  <c r="L496" i="20"/>
  <c r="I495" i="20"/>
  <c r="L495" i="20" s="1"/>
  <c r="L494" i="20"/>
  <c r="L493" i="20"/>
  <c r="L492" i="20"/>
  <c r="I491" i="20"/>
  <c r="L490" i="20"/>
  <c r="L489" i="20"/>
  <c r="L488" i="20"/>
  <c r="L487" i="20"/>
  <c r="L486" i="20"/>
  <c r="L485" i="20"/>
  <c r="L484" i="20"/>
  <c r="I483" i="20"/>
  <c r="L483" i="20" s="1"/>
  <c r="L477" i="20"/>
  <c r="L476" i="20"/>
  <c r="L475" i="20"/>
  <c r="L473" i="20"/>
  <c r="L462" i="20"/>
  <c r="L461" i="20"/>
  <c r="I460" i="20"/>
  <c r="L460" i="20" s="1"/>
  <c r="L459" i="20"/>
  <c r="L458" i="20"/>
  <c r="L457" i="20"/>
  <c r="L456" i="20"/>
  <c r="I455" i="20"/>
  <c r="L455" i="20" s="1"/>
  <c r="L454" i="20"/>
  <c r="L453" i="20"/>
  <c r="L452" i="20"/>
  <c r="L451" i="20"/>
  <c r="L450" i="20"/>
  <c r="I449" i="20"/>
  <c r="L449" i="20" s="1"/>
  <c r="L448" i="20"/>
  <c r="L447" i="20"/>
  <c r="L446" i="20"/>
  <c r="I445" i="20"/>
  <c r="L445" i="20" s="1"/>
  <c r="L442" i="20"/>
  <c r="L441" i="20"/>
  <c r="I440" i="20"/>
  <c r="L437" i="20"/>
  <c r="I436" i="20"/>
  <c r="L435" i="20"/>
  <c r="L434" i="20"/>
  <c r="L433" i="20"/>
  <c r="I432" i="20"/>
  <c r="L432" i="20" s="1"/>
  <c r="L431" i="20"/>
  <c r="L430" i="20"/>
  <c r="I429" i="20"/>
  <c r="L429" i="20" s="1"/>
  <c r="L428" i="20"/>
  <c r="L427" i="20"/>
  <c r="I426" i="20"/>
  <c r="L425" i="20"/>
  <c r="L422" i="20"/>
  <c r="L421" i="20"/>
  <c r="I420" i="20"/>
  <c r="L420" i="20" s="1"/>
  <c r="L419" i="20"/>
  <c r="L418" i="20"/>
  <c r="I417" i="20"/>
  <c r="L417" i="20" s="1"/>
  <c r="L416" i="20"/>
  <c r="L411" i="20"/>
  <c r="L410" i="20"/>
  <c r="L409" i="20"/>
  <c r="L408" i="20"/>
  <c r="L390" i="20"/>
  <c r="L384" i="20"/>
  <c r="L373" i="20"/>
  <c r="L372" i="20"/>
  <c r="L367" i="20"/>
  <c r="I361" i="20"/>
  <c r="L360" i="20"/>
  <c r="L359" i="20"/>
  <c r="L358" i="20"/>
  <c r="L357" i="20"/>
  <c r="L356" i="20"/>
  <c r="L355" i="20"/>
  <c r="L354" i="20"/>
  <c r="L353" i="20"/>
  <c r="L352" i="20"/>
  <c r="L351" i="20"/>
  <c r="L350" i="20"/>
  <c r="I348" i="20"/>
  <c r="I232" i="20" s="1"/>
  <c r="L347" i="20"/>
  <c r="L346" i="20"/>
  <c r="L345" i="20"/>
  <c r="L344" i="20"/>
  <c r="L343" i="20"/>
  <c r="L342" i="20"/>
  <c r="L341" i="20"/>
  <c r="L340" i="20"/>
  <c r="L339" i="20"/>
  <c r="L338" i="20"/>
  <c r="L337" i="20"/>
  <c r="L336" i="20"/>
  <c r="L335" i="20"/>
  <c r="L334" i="20"/>
  <c r="L333" i="20"/>
  <c r="I331" i="20"/>
  <c r="I228" i="20" s="1"/>
  <c r="I230" i="20" s="1"/>
  <c r="L329" i="20"/>
  <c r="L328" i="20"/>
  <c r="L327" i="20"/>
  <c r="L326" i="20"/>
  <c r="L325" i="20"/>
  <c r="L324" i="20"/>
  <c r="L323" i="20"/>
  <c r="I322" i="20"/>
  <c r="I127" i="20" s="1"/>
  <c r="L127" i="20" s="1"/>
  <c r="L321" i="20"/>
  <c r="L320" i="20"/>
  <c r="L319" i="20"/>
  <c r="L318" i="20"/>
  <c r="L317" i="20"/>
  <c r="L316" i="20"/>
  <c r="L315" i="20"/>
  <c r="L314" i="20"/>
  <c r="L313" i="20"/>
  <c r="L312" i="20"/>
  <c r="L311" i="20"/>
  <c r="I309" i="20"/>
  <c r="L307" i="20"/>
  <c r="L306" i="20"/>
  <c r="L305" i="20"/>
  <c r="L304" i="20"/>
  <c r="L303" i="20"/>
  <c r="L302" i="20"/>
  <c r="L301" i="20"/>
  <c r="I300" i="20"/>
  <c r="I123" i="20" s="1"/>
  <c r="L123" i="20" s="1"/>
  <c r="L299" i="20"/>
  <c r="L298" i="20"/>
  <c r="L297" i="20"/>
  <c r="L296" i="20"/>
  <c r="L295" i="20"/>
  <c r="L294" i="20"/>
  <c r="L293" i="20"/>
  <c r="L292" i="20"/>
  <c r="L291" i="20"/>
  <c r="L290" i="20"/>
  <c r="L289" i="20"/>
  <c r="I287" i="20"/>
  <c r="I122" i="20" s="1"/>
  <c r="L285" i="20"/>
  <c r="L284" i="20"/>
  <c r="L283" i="20"/>
  <c r="L282" i="20"/>
  <c r="L281" i="20"/>
  <c r="L280" i="20"/>
  <c r="L279" i="20"/>
  <c r="I278" i="20"/>
  <c r="I132" i="20" s="1"/>
  <c r="L277" i="20"/>
  <c r="L276" i="20"/>
  <c r="L275" i="20"/>
  <c r="L274" i="20"/>
  <c r="L273" i="20"/>
  <c r="L272" i="20"/>
  <c r="L271" i="20"/>
  <c r="L270" i="20"/>
  <c r="L269" i="20"/>
  <c r="L268" i="20"/>
  <c r="L267" i="20"/>
  <c r="I265" i="20"/>
  <c r="L261" i="20"/>
  <c r="L260" i="20"/>
  <c r="L259" i="20"/>
  <c r="L258" i="20"/>
  <c r="L257" i="20"/>
  <c r="L256" i="20"/>
  <c r="L255" i="20"/>
  <c r="I254" i="20"/>
  <c r="I130" i="20" s="1"/>
  <c r="L253" i="20"/>
  <c r="L252" i="20"/>
  <c r="L251" i="20"/>
  <c r="L250" i="20"/>
  <c r="L249" i="20"/>
  <c r="L248" i="20"/>
  <c r="L247" i="20"/>
  <c r="L246" i="20"/>
  <c r="L245" i="20"/>
  <c r="L244" i="20"/>
  <c r="L243" i="20"/>
  <c r="I241" i="20"/>
  <c r="L240" i="20"/>
  <c r="L239" i="20"/>
  <c r="L238" i="20"/>
  <c r="L236" i="20"/>
  <c r="L235" i="20"/>
  <c r="L231" i="20"/>
  <c r="I224" i="20"/>
  <c r="I223" i="20"/>
  <c r="I222" i="20"/>
  <c r="I221" i="20"/>
  <c r="L219" i="20"/>
  <c r="I218" i="20"/>
  <c r="L218" i="20" s="1"/>
  <c r="L217" i="20"/>
  <c r="L216" i="20"/>
  <c r="L207" i="20"/>
  <c r="I200" i="20"/>
  <c r="I96" i="20" s="1"/>
  <c r="L96" i="20" s="1"/>
  <c r="L199" i="20"/>
  <c r="L198" i="20"/>
  <c r="L197" i="20"/>
  <c r="L196" i="20"/>
  <c r="L195" i="20"/>
  <c r="L194" i="20"/>
  <c r="L193" i="20"/>
  <c r="L192" i="20"/>
  <c r="L191" i="20"/>
  <c r="L190" i="20"/>
  <c r="L183" i="20"/>
  <c r="L180" i="20"/>
  <c r="L179" i="20"/>
  <c r="L178" i="20"/>
  <c r="L177" i="20"/>
  <c r="L176" i="20"/>
  <c r="L175" i="20"/>
  <c r="L174" i="20"/>
  <c r="L173" i="20"/>
  <c r="L172" i="20"/>
  <c r="I171" i="20"/>
  <c r="L171" i="20" s="1"/>
  <c r="L169" i="20"/>
  <c r="L168" i="20"/>
  <c r="L167" i="20"/>
  <c r="L166" i="20"/>
  <c r="L165" i="20"/>
  <c r="I161" i="20"/>
  <c r="L161" i="20" s="1"/>
  <c r="L154" i="20"/>
  <c r="L153" i="20"/>
  <c r="L152" i="20"/>
  <c r="L151" i="20"/>
  <c r="L150" i="20"/>
  <c r="L149" i="20"/>
  <c r="L148" i="20"/>
  <c r="L147" i="20"/>
  <c r="I145" i="20"/>
  <c r="L141" i="20"/>
  <c r="I141" i="20"/>
  <c r="L139" i="20"/>
  <c r="L138" i="20"/>
  <c r="L137" i="20"/>
  <c r="L136" i="20"/>
  <c r="L135" i="20"/>
  <c r="L129" i="20"/>
  <c r="I126" i="20"/>
  <c r="L125" i="20"/>
  <c r="L121" i="20"/>
  <c r="L120" i="20"/>
  <c r="I114" i="20"/>
  <c r="I158" i="20" s="1"/>
  <c r="L113" i="20"/>
  <c r="L112" i="20"/>
  <c r="I110" i="20"/>
  <c r="I157" i="20" s="1"/>
  <c r="L109" i="20"/>
  <c r="I109" i="20"/>
  <c r="I156" i="20" s="1"/>
  <c r="I107" i="20"/>
  <c r="L107" i="20" s="1"/>
  <c r="L106" i="20"/>
  <c r="L105" i="20"/>
  <c r="L104" i="20"/>
  <c r="L103" i="20"/>
  <c r="L102" i="20"/>
  <c r="L101" i="20"/>
  <c r="I95" i="20"/>
  <c r="L95" i="20" s="1"/>
  <c r="L93" i="20"/>
  <c r="L92" i="20"/>
  <c r="I91" i="20"/>
  <c r="L91" i="20" s="1"/>
  <c r="L89" i="20"/>
  <c r="L88" i="20"/>
  <c r="L87" i="20"/>
  <c r="L85" i="20"/>
  <c r="L84" i="20"/>
  <c r="L83" i="20"/>
  <c r="L81" i="20"/>
  <c r="L80" i="20"/>
  <c r="L78" i="20"/>
  <c r="L77" i="20"/>
  <c r="L73" i="20"/>
  <c r="L72" i="20"/>
  <c r="L71" i="20"/>
  <c r="L70" i="20"/>
  <c r="L69" i="20"/>
  <c r="L68" i="20"/>
  <c r="L67" i="20"/>
  <c r="L66" i="20"/>
  <c r="L65" i="20"/>
  <c r="L64" i="20"/>
  <c r="L63" i="20"/>
  <c r="L62" i="20"/>
  <c r="L61" i="20"/>
  <c r="L60" i="20"/>
  <c r="L55" i="20"/>
  <c r="L54" i="20"/>
  <c r="L53" i="20"/>
  <c r="L52" i="20"/>
  <c r="L51" i="20"/>
  <c r="L50" i="20"/>
  <c r="L49" i="20"/>
  <c r="L48" i="20"/>
  <c r="L47" i="20"/>
  <c r="L46" i="20"/>
  <c r="L45" i="20"/>
  <c r="L44" i="20"/>
  <c r="L43" i="20"/>
  <c r="L39" i="20"/>
  <c r="L38" i="20"/>
  <c r="L37" i="20"/>
  <c r="L36" i="20"/>
  <c r="L31" i="20"/>
  <c r="L29" i="20"/>
  <c r="L28" i="20"/>
  <c r="L27" i="20"/>
  <c r="L26" i="20"/>
  <c r="L25" i="20"/>
  <c r="L22" i="20"/>
  <c r="L21" i="20"/>
  <c r="L20" i="20"/>
  <c r="I18" i="20"/>
  <c r="I23" i="20" s="1"/>
  <c r="L15" i="20"/>
  <c r="I124" i="20" l="1"/>
  <c r="I762" i="20"/>
  <c r="L762" i="20" s="1"/>
  <c r="I116" i="20"/>
  <c r="I601" i="20"/>
  <c r="I424" i="20"/>
  <c r="I423" i="20" s="1"/>
  <c r="I413" i="20" s="1"/>
  <c r="L413" i="20" s="1"/>
  <c r="L426" i="20"/>
  <c r="L638" i="20"/>
  <c r="L606" i="20"/>
  <c r="L200" i="20"/>
  <c r="I415" i="20"/>
  <c r="I414" i="20" s="1"/>
  <c r="I208" i="20"/>
  <c r="I594" i="20"/>
  <c r="I128" i="20"/>
  <c r="I163" i="20" s="1"/>
  <c r="I210" i="20" s="1"/>
  <c r="I654" i="20"/>
  <c r="L424" i="20"/>
  <c r="I184" i="20"/>
  <c r="L156" i="20"/>
  <c r="I185" i="20"/>
  <c r="L157" i="20"/>
  <c r="L23" i="20"/>
  <c r="I56" i="20"/>
  <c r="I186" i="20"/>
  <c r="L158" i="20"/>
  <c r="I162" i="20"/>
  <c r="I571" i="20"/>
  <c r="I117" i="20"/>
  <c r="I559" i="20"/>
  <c r="L636" i="20"/>
  <c r="I544" i="20"/>
  <c r="I547" i="20" s="1"/>
  <c r="I560" i="20"/>
  <c r="L637" i="20"/>
  <c r="I717" i="20"/>
  <c r="I706" i="20" s="1"/>
  <c r="L18" i="20"/>
  <c r="I119" i="20"/>
  <c r="I529" i="20"/>
  <c r="I545" i="20"/>
  <c r="I561" i="20"/>
  <c r="I656" i="20"/>
  <c r="I718" i="20"/>
  <c r="I407" i="20"/>
  <c r="I546" i="20"/>
  <c r="L607" i="20"/>
  <c r="I720" i="20"/>
  <c r="I719" i="20" s="1"/>
  <c r="I721" i="20"/>
  <c r="I534" i="20"/>
  <c r="I533" i="20" s="1"/>
  <c r="I550" i="20"/>
  <c r="L110" i="20"/>
  <c r="I522" i="20"/>
  <c r="I525" i="20" s="1"/>
  <c r="I523" i="20"/>
  <c r="D846" i="20"/>
  <c r="I524" i="20"/>
  <c r="I569" i="20"/>
  <c r="L208" i="20" l="1"/>
  <c r="I225" i="20"/>
  <c r="L163" i="20"/>
  <c r="L415" i="20"/>
  <c r="I159" i="20"/>
  <c r="L116" i="20"/>
  <c r="L58" i="20"/>
  <c r="I76" i="20"/>
  <c r="L56" i="20"/>
  <c r="I209" i="20"/>
  <c r="L162" i="20"/>
  <c r="L186" i="20"/>
  <c r="I206" i="20"/>
  <c r="L185" i="20"/>
  <c r="I205" i="20"/>
  <c r="I160" i="20"/>
  <c r="L117" i="20"/>
  <c r="I531" i="20"/>
  <c r="I528" i="20"/>
  <c r="I527" i="20"/>
  <c r="L210" i="20"/>
  <c r="I227" i="20"/>
  <c r="I549" i="20"/>
  <c r="L184" i="20"/>
  <c r="I204" i="20"/>
  <c r="I748" i="20"/>
  <c r="I551" i="20"/>
  <c r="I543" i="20"/>
  <c r="L159" i="20" l="1"/>
  <c r="I187" i="20"/>
  <c r="L209" i="20"/>
  <c r="I226" i="20"/>
  <c r="L206" i="20"/>
  <c r="I374" i="20"/>
  <c r="I376" i="20"/>
  <c r="I686" i="20" s="1"/>
  <c r="L204" i="20"/>
  <c r="I203" i="20"/>
  <c r="I535" i="20"/>
  <c r="I536" i="20" s="1"/>
  <c r="I729" i="20"/>
  <c r="I530" i="20"/>
  <c r="I377" i="20"/>
  <c r="I687" i="20" s="1"/>
  <c r="L205" i="20"/>
  <c r="I552" i="20"/>
  <c r="I188" i="20"/>
  <c r="L160" i="20"/>
  <c r="L76" i="20"/>
  <c r="I79" i="20"/>
  <c r="I737" i="20"/>
  <c r="I211" i="20" l="1"/>
  <c r="L187" i="20"/>
  <c r="I625" i="20"/>
  <c r="I587" i="20"/>
  <c r="L188" i="20"/>
  <c r="I212" i="20"/>
  <c r="I189" i="20"/>
  <c r="I750" i="20"/>
  <c r="I586" i="20"/>
  <c r="I624" i="20"/>
  <c r="I696" i="20"/>
  <c r="L374" i="20"/>
  <c r="I371" i="20"/>
  <c r="I733" i="20"/>
  <c r="I521" i="20"/>
  <c r="I100" i="20"/>
  <c r="L203" i="20"/>
  <c r="I370" i="20"/>
  <c r="I82" i="20"/>
  <c r="L79" i="20"/>
  <c r="I379" i="20" l="1"/>
  <c r="L211" i="20"/>
  <c r="I668" i="20"/>
  <c r="I657" i="20"/>
  <c r="I86" i="20"/>
  <c r="L82" i="20"/>
  <c r="L371" i="20"/>
  <c r="I707" i="20"/>
  <c r="L189" i="20"/>
  <c r="I369" i="20"/>
  <c r="I380" i="20"/>
  <c r="L212" i="20"/>
  <c r="I375" i="20"/>
  <c r="I697" i="20" l="1"/>
  <c r="I131" i="20"/>
  <c r="L86" i="20"/>
  <c r="I94" i="20"/>
  <c r="I698" i="20"/>
  <c r="I133" i="20"/>
  <c r="I134" i="20" s="1"/>
  <c r="I381" i="20"/>
  <c r="I669" i="20" l="1"/>
  <c r="I658" i="20"/>
  <c r="I140" i="20"/>
  <c r="L140" i="20" s="1"/>
  <c r="L134" i="20"/>
  <c r="I97" i="20"/>
  <c r="I365" i="20"/>
  <c r="L94" i="20"/>
  <c r="I214" i="20"/>
  <c r="I659" i="20"/>
  <c r="I653" i="20" s="1"/>
  <c r="I670" i="20"/>
  <c r="I664" i="20" s="1"/>
  <c r="I692" i="20"/>
  <c r="I215" i="20" l="1"/>
  <c r="L214" i="20"/>
  <c r="L97" i="20"/>
  <c r="I366" i="20"/>
  <c r="I368" i="20" s="1"/>
  <c r="I684" i="20" l="1"/>
  <c r="I382" i="20"/>
  <c r="L368" i="20"/>
  <c r="I385" i="20"/>
  <c r="I386" i="20" s="1"/>
  <c r="I14" i="20"/>
  <c r="L14" i="20" s="1"/>
  <c r="I13" i="20" l="1"/>
  <c r="L13" i="20" s="1"/>
  <c r="I12" i="20"/>
  <c r="L12" i="20" s="1"/>
  <c r="I683" i="20"/>
  <c r="I583" i="20"/>
  <c r="I621" i="20"/>
  <c r="D30" i="1" l="1"/>
  <c r="I3" i="13" l="1"/>
  <c r="I2" i="13"/>
  <c r="D55" i="13" l="1"/>
  <c r="D52" i="13"/>
  <c r="B49" i="13"/>
  <c r="L44" i="13"/>
  <c r="L41" i="13"/>
  <c r="L40" i="13"/>
  <c r="I39" i="13"/>
  <c r="L39" i="13" s="1"/>
  <c r="L38" i="13"/>
  <c r="L37" i="13"/>
  <c r="L36" i="13"/>
  <c r="L35" i="13"/>
  <c r="I34" i="13"/>
  <c r="L34" i="13" s="1"/>
  <c r="L33" i="13"/>
  <c r="L32" i="13"/>
  <c r="L31" i="13"/>
  <c r="L30" i="13"/>
  <c r="L29" i="13"/>
  <c r="L28" i="13"/>
  <c r="L27" i="13"/>
  <c r="I26" i="13"/>
  <c r="L25" i="13"/>
  <c r="L24" i="13"/>
  <c r="I23" i="13"/>
  <c r="L23" i="13" s="1"/>
  <c r="L18" i="13"/>
  <c r="L15" i="13"/>
  <c r="L14" i="13"/>
  <c r="L13" i="13"/>
  <c r="I12" i="13"/>
  <c r="L12" i="13" s="1"/>
  <c r="D53" i="13"/>
  <c r="D51" i="13"/>
  <c r="K3" i="16"/>
  <c r="E56" i="16" s="1"/>
  <c r="K2" i="16"/>
  <c r="E58" i="16"/>
  <c r="E55" i="16"/>
  <c r="E54" i="16"/>
  <c r="B50" i="16"/>
  <c r="I22" i="13" l="1"/>
  <c r="I502" i="20" l="1"/>
  <c r="I47" i="13"/>
  <c r="L22" i="13"/>
  <c r="H5" i="11"/>
  <c r="I744" i="20" l="1"/>
  <c r="L47" i="13"/>
  <c r="D56" i="13" s="1"/>
  <c r="I573" i="20"/>
  <c r="I557" i="20"/>
  <c r="I749" i="20"/>
  <c r="I752" i="20" s="1"/>
  <c r="I756" i="20"/>
  <c r="I556" i="20"/>
  <c r="I554" i="20"/>
  <c r="I555" i="20"/>
  <c r="I747" i="20"/>
  <c r="I746" i="20"/>
  <c r="I763" i="20"/>
  <c r="L763" i="20" s="1"/>
  <c r="I626" i="20"/>
  <c r="I745" i="20"/>
  <c r="I751" i="20" s="1"/>
  <c r="I628" i="20"/>
  <c r="I622" i="20" s="1"/>
  <c r="I680" i="20" s="1"/>
  <c r="I627" i="20"/>
  <c r="I629" i="20"/>
  <c r="I630" i="20"/>
  <c r="I620" i="20" s="1"/>
  <c r="I574" i="20"/>
  <c r="L574" i="20" s="1"/>
  <c r="F71" i="11"/>
  <c r="I71" i="11" s="1"/>
  <c r="F69" i="11"/>
  <c r="I69" i="11" s="1"/>
  <c r="F67" i="11"/>
  <c r="I67" i="11" s="1"/>
  <c r="F65" i="11"/>
  <c r="I65" i="11" s="1"/>
  <c r="I575" i="20" l="1"/>
  <c r="L573" i="20"/>
  <c r="I679" i="20"/>
  <c r="I619" i="20"/>
  <c r="D31" i="1"/>
  <c r="I678" i="20" l="1"/>
  <c r="I577" i="20"/>
  <c r="I568" i="20"/>
  <c r="I757" i="20" s="1"/>
  <c r="I662" i="20"/>
  <c r="I690" i="20" s="1"/>
  <c r="K64" i="10"/>
  <c r="F59" i="11"/>
  <c r="I59" i="11" s="1"/>
  <c r="E54" i="3"/>
  <c r="E54" i="4"/>
  <c r="E54" i="5"/>
  <c r="E54" i="6"/>
  <c r="E54" i="7"/>
  <c r="E54" i="8"/>
  <c r="E54" i="9"/>
  <c r="E52" i="3"/>
  <c r="E52" i="4"/>
  <c r="E52" i="5"/>
  <c r="E52" i="6"/>
  <c r="E52" i="7"/>
  <c r="E52" i="8"/>
  <c r="E52" i="9"/>
  <c r="E51" i="3"/>
  <c r="E51" i="4"/>
  <c r="E51" i="5"/>
  <c r="E51" i="6"/>
  <c r="E51" i="7"/>
  <c r="E51" i="8"/>
  <c r="E51" i="9"/>
  <c r="E50" i="3"/>
  <c r="E50" i="4"/>
  <c r="E50" i="5"/>
  <c r="E50" i="6"/>
  <c r="E50" i="7"/>
  <c r="E50" i="8"/>
  <c r="E50" i="9"/>
  <c r="S52" i="3"/>
  <c r="S52" i="4"/>
  <c r="S52" i="5"/>
  <c r="S52" i="6"/>
  <c r="S52" i="7"/>
  <c r="S52" i="8"/>
  <c r="S52" i="9"/>
  <c r="Q52" i="3"/>
  <c r="Q52" i="4"/>
  <c r="Q52" i="5"/>
  <c r="Q52" i="6"/>
  <c r="Q52" i="7"/>
  <c r="Q52" i="8"/>
  <c r="Q52" i="9"/>
  <c r="J52" i="3"/>
  <c r="I52" i="3"/>
  <c r="H52" i="3"/>
  <c r="G52" i="3"/>
  <c r="J52" i="4"/>
  <c r="I52" i="4"/>
  <c r="H52" i="4"/>
  <c r="G52" i="4"/>
  <c r="J52" i="5"/>
  <c r="I52" i="5"/>
  <c r="H52" i="5"/>
  <c r="G52" i="5"/>
  <c r="J52" i="6"/>
  <c r="I52" i="6"/>
  <c r="H52" i="6"/>
  <c r="G52" i="6"/>
  <c r="J52" i="7"/>
  <c r="I52" i="7"/>
  <c r="H52" i="7"/>
  <c r="G52" i="7"/>
  <c r="J52" i="8"/>
  <c r="I52" i="8"/>
  <c r="H52" i="8"/>
  <c r="G52" i="8"/>
  <c r="J52" i="9"/>
  <c r="I52" i="9"/>
  <c r="H52" i="9"/>
  <c r="G52" i="9"/>
  <c r="D52" i="3"/>
  <c r="D52" i="4"/>
  <c r="D52" i="5"/>
  <c r="D52" i="6"/>
  <c r="D52" i="7"/>
  <c r="D52" i="8"/>
  <c r="D52" i="9"/>
  <c r="S14" i="3"/>
  <c r="S14" i="4"/>
  <c r="S14" i="5"/>
  <c r="S14" i="6"/>
  <c r="S14" i="7"/>
  <c r="S14" i="8"/>
  <c r="S14" i="9"/>
  <c r="Q14" i="3"/>
  <c r="AC14" i="3" s="1"/>
  <c r="Q14" i="4"/>
  <c r="Q14" i="5"/>
  <c r="AC14" i="5" s="1"/>
  <c r="Q14" i="6"/>
  <c r="AC14" i="6" s="1"/>
  <c r="Q14" i="7"/>
  <c r="Q14" i="8"/>
  <c r="Q14" i="9"/>
  <c r="AC14" i="9" s="1"/>
  <c r="J14" i="3"/>
  <c r="J14" i="4"/>
  <c r="J49" i="4" s="1"/>
  <c r="J14" i="5"/>
  <c r="J49" i="5" s="1"/>
  <c r="J14" i="6"/>
  <c r="J14" i="7"/>
  <c r="J49" i="7" s="1"/>
  <c r="J14" i="8"/>
  <c r="J49" i="8" s="1"/>
  <c r="J14" i="9"/>
  <c r="J49" i="9" s="1"/>
  <c r="I14" i="3"/>
  <c r="I49" i="3" s="1"/>
  <c r="I14" i="4"/>
  <c r="I14" i="5"/>
  <c r="I49" i="5" s="1"/>
  <c r="I14" i="6"/>
  <c r="I14" i="7"/>
  <c r="I49" i="7" s="1"/>
  <c r="I14" i="8"/>
  <c r="I49" i="8" s="1"/>
  <c r="I14" i="9"/>
  <c r="I49" i="9" s="1"/>
  <c r="H14" i="3"/>
  <c r="H49" i="3" s="1"/>
  <c r="H14" i="4"/>
  <c r="H14" i="5"/>
  <c r="H49" i="5" s="1"/>
  <c r="H14" i="6"/>
  <c r="H49" i="6" s="1"/>
  <c r="H14" i="7"/>
  <c r="H49" i="7" s="1"/>
  <c r="H14" i="8"/>
  <c r="H49" i="8" s="1"/>
  <c r="H14" i="9"/>
  <c r="H49" i="9" s="1"/>
  <c r="G14" i="3"/>
  <c r="G49" i="3" s="1"/>
  <c r="G14" i="4"/>
  <c r="G14" i="5"/>
  <c r="G49" i="5" s="1"/>
  <c r="G14" i="6"/>
  <c r="G49" i="6" s="1"/>
  <c r="G14" i="7"/>
  <c r="G49" i="7" s="1"/>
  <c r="G14" i="8"/>
  <c r="G14" i="9"/>
  <c r="G49" i="9" s="1"/>
  <c r="E14" i="3"/>
  <c r="E14" i="4"/>
  <c r="E14" i="5"/>
  <c r="E14" i="6"/>
  <c r="Y14" i="6" s="1"/>
  <c r="E14" i="7"/>
  <c r="E49" i="7" s="1"/>
  <c r="E14" i="8"/>
  <c r="E14" i="9"/>
  <c r="E49" i="9" s="1"/>
  <c r="D14" i="3"/>
  <c r="X14" i="3" s="1"/>
  <c r="D14" i="4"/>
  <c r="D14" i="5"/>
  <c r="X14" i="5" s="1"/>
  <c r="D14" i="6"/>
  <c r="D14" i="7"/>
  <c r="X14" i="7" s="1"/>
  <c r="D14" i="8"/>
  <c r="X14" i="8" s="1"/>
  <c r="D14" i="9"/>
  <c r="D49" i="9" s="1"/>
  <c r="T20" i="3"/>
  <c r="T20" i="4"/>
  <c r="U20" i="4" s="1"/>
  <c r="AE20" i="4" s="1"/>
  <c r="T20" i="5"/>
  <c r="U20" i="5" s="1"/>
  <c r="T20" i="6"/>
  <c r="U20" i="6" s="1"/>
  <c r="T20" i="7"/>
  <c r="T20" i="8"/>
  <c r="U20" i="8" s="1"/>
  <c r="AE20" i="8" s="1"/>
  <c r="T20" i="9"/>
  <c r="U20" i="9" s="1"/>
  <c r="AE20" i="9" s="1"/>
  <c r="T27" i="4"/>
  <c r="U27" i="4" s="1"/>
  <c r="T27" i="5"/>
  <c r="T27" i="6"/>
  <c r="T27" i="7"/>
  <c r="U27" i="7" s="1"/>
  <c r="T27" i="8"/>
  <c r="U27" i="8" s="1"/>
  <c r="T27" i="9"/>
  <c r="U27" i="9" s="1"/>
  <c r="AE27" i="9" s="1"/>
  <c r="T27" i="3"/>
  <c r="U27" i="3" s="1"/>
  <c r="F27" i="4"/>
  <c r="K27" i="4" s="1"/>
  <c r="F27" i="5"/>
  <c r="K27" i="5" s="1"/>
  <c r="F27" i="6"/>
  <c r="F27" i="7"/>
  <c r="K27" i="7" s="1"/>
  <c r="F27" i="8"/>
  <c r="F27" i="9"/>
  <c r="F27" i="3"/>
  <c r="K27" i="3" s="1"/>
  <c r="S51" i="4"/>
  <c r="Q51" i="4"/>
  <c r="J51" i="4"/>
  <c r="I51" i="4"/>
  <c r="H51" i="4"/>
  <c r="G51" i="4"/>
  <c r="D51" i="4"/>
  <c r="S51" i="6"/>
  <c r="Q51" i="6"/>
  <c r="J51" i="6"/>
  <c r="I51" i="6"/>
  <c r="H51" i="6"/>
  <c r="G51" i="6"/>
  <c r="D51" i="6"/>
  <c r="S51" i="7"/>
  <c r="Q51" i="7"/>
  <c r="J51" i="7"/>
  <c r="I51" i="7"/>
  <c r="H51" i="7"/>
  <c r="G51" i="7"/>
  <c r="D51" i="7"/>
  <c r="S51" i="8"/>
  <c r="Q51" i="8"/>
  <c r="J51" i="8"/>
  <c r="I51" i="8"/>
  <c r="H51" i="8"/>
  <c r="G51" i="8"/>
  <c r="D51" i="8"/>
  <c r="S51" i="9"/>
  <c r="Q51" i="9"/>
  <c r="J51" i="9"/>
  <c r="I51" i="9"/>
  <c r="H51" i="9"/>
  <c r="G51" i="9"/>
  <c r="D51" i="9"/>
  <c r="S51" i="5"/>
  <c r="Q51" i="5"/>
  <c r="J51" i="5"/>
  <c r="I51" i="5"/>
  <c r="H51" i="5"/>
  <c r="G51" i="5"/>
  <c r="D51" i="5"/>
  <c r="D51" i="3"/>
  <c r="S51" i="3"/>
  <c r="Q51" i="3"/>
  <c r="J51" i="3"/>
  <c r="I51" i="3"/>
  <c r="H51" i="3"/>
  <c r="G51" i="3"/>
  <c r="AC20" i="4"/>
  <c r="AC20" i="5"/>
  <c r="AC20" i="6"/>
  <c r="AC20" i="7"/>
  <c r="AC20" i="8"/>
  <c r="AC20" i="9"/>
  <c r="AC20" i="3"/>
  <c r="Y20" i="4"/>
  <c r="X20" i="4"/>
  <c r="Y20" i="5"/>
  <c r="X20" i="5"/>
  <c r="Y20" i="6"/>
  <c r="X20" i="6"/>
  <c r="Y20" i="7"/>
  <c r="X20" i="7"/>
  <c r="Y20" i="8"/>
  <c r="X20" i="8"/>
  <c r="Y20" i="9"/>
  <c r="X20" i="9"/>
  <c r="Y20" i="3"/>
  <c r="X20" i="3"/>
  <c r="F20" i="4"/>
  <c r="F20" i="5"/>
  <c r="K20" i="5" s="1"/>
  <c r="F20" i="6"/>
  <c r="F20" i="7"/>
  <c r="K20" i="7" s="1"/>
  <c r="Z20" i="7" s="1"/>
  <c r="F20" i="8"/>
  <c r="K20" i="8" s="1"/>
  <c r="Z20" i="8" s="1"/>
  <c r="F20" i="9"/>
  <c r="K20" i="9" s="1"/>
  <c r="Z20" i="9" s="1"/>
  <c r="F20" i="3"/>
  <c r="K20" i="3" s="1"/>
  <c r="AC27" i="4"/>
  <c r="AC27" i="5"/>
  <c r="AC27" i="6"/>
  <c r="AC27" i="7"/>
  <c r="AC27" i="8"/>
  <c r="AC27" i="9"/>
  <c r="AC27" i="3"/>
  <c r="Y27" i="4"/>
  <c r="X27" i="4"/>
  <c r="Y27" i="5"/>
  <c r="X27" i="5"/>
  <c r="Y27" i="6"/>
  <c r="X27" i="6"/>
  <c r="Y27" i="7"/>
  <c r="X27" i="7"/>
  <c r="Y27" i="8"/>
  <c r="X27" i="8"/>
  <c r="Y27" i="9"/>
  <c r="X27" i="9"/>
  <c r="Y27" i="3"/>
  <c r="X27" i="3"/>
  <c r="B41" i="1"/>
  <c r="K61" i="10"/>
  <c r="K67" i="10" s="1"/>
  <c r="I468" i="20" s="1"/>
  <c r="L468" i="20" s="1"/>
  <c r="K55" i="10"/>
  <c r="K56" i="10"/>
  <c r="K57" i="10"/>
  <c r="H1" i="11"/>
  <c r="K2" i="10"/>
  <c r="D173" i="10" s="1"/>
  <c r="K3" i="10"/>
  <c r="D175" i="10" s="1"/>
  <c r="I22" i="10"/>
  <c r="K22" i="10"/>
  <c r="I31" i="10"/>
  <c r="I33" i="10" s="1"/>
  <c r="K41" i="10"/>
  <c r="K42" i="10"/>
  <c r="K43" i="10"/>
  <c r="K44" i="10"/>
  <c r="K45" i="10"/>
  <c r="K46" i="10"/>
  <c r="K50" i="10"/>
  <c r="K51" i="10"/>
  <c r="K52" i="10"/>
  <c r="I58" i="10"/>
  <c r="K74" i="10"/>
  <c r="I469" i="20" s="1"/>
  <c r="L469" i="20" s="1"/>
  <c r="K80" i="10"/>
  <c r="K81" i="10" s="1"/>
  <c r="I471" i="20" s="1"/>
  <c r="I81" i="10"/>
  <c r="K86" i="10"/>
  <c r="K87" i="10" s="1"/>
  <c r="I472" i="20" s="1"/>
  <c r="L472" i="20" s="1"/>
  <c r="I87" i="10"/>
  <c r="K97" i="10"/>
  <c r="I479" i="20" s="1"/>
  <c r="K108" i="10"/>
  <c r="K116" i="10"/>
  <c r="K126" i="10"/>
  <c r="I481" i="20" s="1"/>
  <c r="L481" i="20" s="1"/>
  <c r="K138" i="10"/>
  <c r="K139" i="10" s="1"/>
  <c r="M138" i="10"/>
  <c r="K146" i="10"/>
  <c r="B162" i="10"/>
  <c r="D174" i="10"/>
  <c r="D177" i="10"/>
  <c r="U1" i="9"/>
  <c r="D41" i="9" s="1"/>
  <c r="K2" i="9"/>
  <c r="U2" i="9" s="1"/>
  <c r="D40" i="9" s="1"/>
  <c r="K3" i="9"/>
  <c r="U3" i="9" s="1"/>
  <c r="D42" i="9" s="1"/>
  <c r="O14" i="9"/>
  <c r="AA14" i="9" s="1"/>
  <c r="AB14" i="9"/>
  <c r="AD14" i="9"/>
  <c r="F16" i="9"/>
  <c r="U16" i="9"/>
  <c r="AE16" i="9" s="1"/>
  <c r="X16" i="9"/>
  <c r="Y16" i="9"/>
  <c r="AC16" i="9"/>
  <c r="F17" i="9"/>
  <c r="K17" i="9" s="1"/>
  <c r="Z17" i="9" s="1"/>
  <c r="U17" i="9"/>
  <c r="X17" i="9"/>
  <c r="Y17" i="9"/>
  <c r="AC17" i="9"/>
  <c r="F19" i="9"/>
  <c r="X19" i="9"/>
  <c r="Y19" i="9"/>
  <c r="AC19" i="9"/>
  <c r="AE19" i="9"/>
  <c r="F21" i="9"/>
  <c r="K21" i="9" s="1"/>
  <c r="T21" i="9"/>
  <c r="U21" i="9" s="1"/>
  <c r="AE21" i="9" s="1"/>
  <c r="X21" i="9"/>
  <c r="Y21" i="9"/>
  <c r="AC21" i="9"/>
  <c r="F22" i="9"/>
  <c r="T22" i="9"/>
  <c r="U22" i="9" s="1"/>
  <c r="AE22" i="9" s="1"/>
  <c r="X22" i="9"/>
  <c r="Y22" i="9"/>
  <c r="AC22" i="9"/>
  <c r="F23" i="9"/>
  <c r="T23" i="9"/>
  <c r="X23" i="9"/>
  <c r="Y23" i="9"/>
  <c r="AC23" i="9"/>
  <c r="F24" i="9"/>
  <c r="K24" i="9" s="1"/>
  <c r="T24" i="9"/>
  <c r="U24" i="9" s="1"/>
  <c r="AE24" i="9" s="1"/>
  <c r="X24" i="9"/>
  <c r="Y24" i="9"/>
  <c r="AC24" i="9"/>
  <c r="F25" i="9"/>
  <c r="T25" i="9"/>
  <c r="U25" i="9" s="1"/>
  <c r="X25" i="9"/>
  <c r="Y25" i="9"/>
  <c r="AC25" i="9"/>
  <c r="F26" i="9"/>
  <c r="T26" i="9"/>
  <c r="U26" i="9" s="1"/>
  <c r="X26" i="9"/>
  <c r="Y26" i="9"/>
  <c r="AC26" i="9"/>
  <c r="F28" i="9"/>
  <c r="K28" i="9" s="1"/>
  <c r="Z28" i="9" s="1"/>
  <c r="T28" i="9"/>
  <c r="U28" i="9" s="1"/>
  <c r="X28" i="9"/>
  <c r="Y28" i="9"/>
  <c r="AC28" i="9"/>
  <c r="F29" i="9"/>
  <c r="T29" i="9"/>
  <c r="U29" i="9" s="1"/>
  <c r="X29" i="9"/>
  <c r="Y29" i="9"/>
  <c r="AC29" i="9"/>
  <c r="F30" i="9"/>
  <c r="K30" i="9" s="1"/>
  <c r="Z30" i="9" s="1"/>
  <c r="T30" i="9"/>
  <c r="U30" i="9" s="1"/>
  <c r="X30" i="9"/>
  <c r="Y30" i="9"/>
  <c r="AC30" i="9"/>
  <c r="F31" i="9"/>
  <c r="K31" i="9" s="1"/>
  <c r="T31" i="9"/>
  <c r="X31" i="9"/>
  <c r="Y31" i="9"/>
  <c r="AC31" i="9"/>
  <c r="F32" i="9"/>
  <c r="K32" i="9" s="1"/>
  <c r="Z32" i="9" s="1"/>
  <c r="T32" i="9"/>
  <c r="U32" i="9" s="1"/>
  <c r="AE32" i="9" s="1"/>
  <c r="X32" i="9"/>
  <c r="Y32" i="9"/>
  <c r="AC32" i="9"/>
  <c r="F33" i="9"/>
  <c r="T33" i="9"/>
  <c r="X33" i="9"/>
  <c r="Y33" i="9"/>
  <c r="AC33" i="9"/>
  <c r="F34" i="9"/>
  <c r="T34" i="9"/>
  <c r="X34" i="9"/>
  <c r="Y34" i="9"/>
  <c r="AC34" i="9"/>
  <c r="B36" i="9"/>
  <c r="D44" i="9"/>
  <c r="D50" i="9"/>
  <c r="G50" i="9"/>
  <c r="H50" i="9"/>
  <c r="I50" i="9"/>
  <c r="J50" i="9"/>
  <c r="Q50" i="9"/>
  <c r="S50" i="9"/>
  <c r="D54" i="9"/>
  <c r="G54" i="9"/>
  <c r="H54" i="9"/>
  <c r="I54" i="9"/>
  <c r="J54" i="9"/>
  <c r="Q54" i="9"/>
  <c r="S54" i="9"/>
  <c r="U1" i="8"/>
  <c r="D41" i="8" s="1"/>
  <c r="K2" i="8"/>
  <c r="U2" i="8" s="1"/>
  <c r="D40" i="8" s="1"/>
  <c r="K3" i="8"/>
  <c r="U3" i="8" s="1"/>
  <c r="D42" i="8" s="1"/>
  <c r="O14" i="8"/>
  <c r="AA14" i="8" s="1"/>
  <c r="AB14" i="8"/>
  <c r="AD14" i="8"/>
  <c r="F16" i="8"/>
  <c r="K16" i="8" s="1"/>
  <c r="U16" i="8"/>
  <c r="AE16" i="8" s="1"/>
  <c r="X16" i="8"/>
  <c r="Y16" i="8"/>
  <c r="AC16" i="8"/>
  <c r="F17" i="8"/>
  <c r="K17" i="8" s="1"/>
  <c r="Z17" i="8" s="1"/>
  <c r="U17" i="8"/>
  <c r="AE17" i="8" s="1"/>
  <c r="X17" i="8"/>
  <c r="Y17" i="8"/>
  <c r="AC17" i="8"/>
  <c r="F19" i="8"/>
  <c r="K19" i="8" s="1"/>
  <c r="Z19" i="8" s="1"/>
  <c r="X19" i="8"/>
  <c r="Y19" i="8"/>
  <c r="AC19" i="8"/>
  <c r="AE19" i="8"/>
  <c r="F21" i="8"/>
  <c r="K21" i="8" s="1"/>
  <c r="Z21" i="8" s="1"/>
  <c r="T21" i="8"/>
  <c r="U21" i="8" s="1"/>
  <c r="AE21" i="8" s="1"/>
  <c r="X21" i="8"/>
  <c r="Y21" i="8"/>
  <c r="AC21" i="8"/>
  <c r="F22" i="8"/>
  <c r="T22" i="8"/>
  <c r="X22" i="8"/>
  <c r="Y22" i="8"/>
  <c r="AC22" i="8"/>
  <c r="F23" i="8"/>
  <c r="K23" i="8" s="1"/>
  <c r="T23" i="8"/>
  <c r="U23" i="8" s="1"/>
  <c r="AE23" i="8" s="1"/>
  <c r="X23" i="8"/>
  <c r="Y23" i="8"/>
  <c r="AC23" i="8"/>
  <c r="F24" i="8"/>
  <c r="K24" i="8" s="1"/>
  <c r="T24" i="8"/>
  <c r="U24" i="8" s="1"/>
  <c r="X24" i="8"/>
  <c r="Y24" i="8"/>
  <c r="AC24" i="8"/>
  <c r="F25" i="8"/>
  <c r="T25" i="8"/>
  <c r="X25" i="8"/>
  <c r="Y25" i="8"/>
  <c r="AC25" i="8"/>
  <c r="F26" i="8"/>
  <c r="K26" i="8" s="1"/>
  <c r="T26" i="8"/>
  <c r="U26" i="8" s="1"/>
  <c r="X26" i="8"/>
  <c r="Y26" i="8"/>
  <c r="AC26" i="8"/>
  <c r="F28" i="8"/>
  <c r="K28" i="8" s="1"/>
  <c r="T28" i="8"/>
  <c r="X28" i="8"/>
  <c r="Y28" i="8"/>
  <c r="AC28" i="8"/>
  <c r="F29" i="8"/>
  <c r="K29" i="8" s="1"/>
  <c r="T29" i="8"/>
  <c r="U29" i="8" s="1"/>
  <c r="AE29" i="8" s="1"/>
  <c r="X29" i="8"/>
  <c r="Y29" i="8"/>
  <c r="AC29" i="8"/>
  <c r="F30" i="8"/>
  <c r="K30" i="8" s="1"/>
  <c r="T30" i="8"/>
  <c r="X30" i="8"/>
  <c r="Y30" i="8"/>
  <c r="AC30" i="8"/>
  <c r="F31" i="8"/>
  <c r="T31" i="8"/>
  <c r="U31" i="8" s="1"/>
  <c r="AE31" i="8" s="1"/>
  <c r="X31" i="8"/>
  <c r="Y31" i="8"/>
  <c r="AC31" i="8"/>
  <c r="F32" i="8"/>
  <c r="K32" i="8" s="1"/>
  <c r="T32" i="8"/>
  <c r="U32" i="8" s="1"/>
  <c r="X32" i="8"/>
  <c r="Y32" i="8"/>
  <c r="AC32" i="8"/>
  <c r="F33" i="8"/>
  <c r="T33" i="8"/>
  <c r="U33" i="8" s="1"/>
  <c r="X33" i="8"/>
  <c r="Y33" i="8"/>
  <c r="AC33" i="8"/>
  <c r="F34" i="8"/>
  <c r="K34" i="8" s="1"/>
  <c r="Z34" i="8" s="1"/>
  <c r="T34" i="8"/>
  <c r="U34" i="8" s="1"/>
  <c r="AE34" i="8" s="1"/>
  <c r="X34" i="8"/>
  <c r="Y34" i="8"/>
  <c r="AC34" i="8"/>
  <c r="B36" i="8"/>
  <c r="D44" i="8"/>
  <c r="D49" i="8"/>
  <c r="G49" i="8"/>
  <c r="D50" i="8"/>
  <c r="G50" i="8"/>
  <c r="H50" i="8"/>
  <c r="I50" i="8"/>
  <c r="J50" i="8"/>
  <c r="Q50" i="8"/>
  <c r="S50" i="8"/>
  <c r="D54" i="8"/>
  <c r="G54" i="8"/>
  <c r="H54" i="8"/>
  <c r="I54" i="8"/>
  <c r="J54" i="8"/>
  <c r="Q54" i="8"/>
  <c r="S54" i="8"/>
  <c r="U1" i="7"/>
  <c r="D41" i="7" s="1"/>
  <c r="K2" i="7"/>
  <c r="U2" i="7" s="1"/>
  <c r="D40" i="7" s="1"/>
  <c r="K3" i="7"/>
  <c r="U3" i="7" s="1"/>
  <c r="D42" i="7" s="1"/>
  <c r="O14" i="7"/>
  <c r="AA14" i="7" s="1"/>
  <c r="AB14" i="7"/>
  <c r="AD14" i="7"/>
  <c r="F16" i="7"/>
  <c r="U16" i="7"/>
  <c r="AE16" i="7" s="1"/>
  <c r="X16" i="7"/>
  <c r="Y16" i="7"/>
  <c r="AC16" i="7"/>
  <c r="F17" i="7"/>
  <c r="U17" i="7"/>
  <c r="AE17" i="7" s="1"/>
  <c r="X17" i="7"/>
  <c r="Y17" i="7"/>
  <c r="AC17" i="7"/>
  <c r="F19" i="7"/>
  <c r="K19" i="7" s="1"/>
  <c r="X19" i="7"/>
  <c r="Y19" i="7"/>
  <c r="AC19" i="7"/>
  <c r="AE19" i="7"/>
  <c r="F21" i="7"/>
  <c r="K21" i="7" s="1"/>
  <c r="Z21" i="7" s="1"/>
  <c r="T21" i="7"/>
  <c r="U21" i="7" s="1"/>
  <c r="X21" i="7"/>
  <c r="Y21" i="7"/>
  <c r="AC21" i="7"/>
  <c r="F22" i="7"/>
  <c r="K22" i="7" s="1"/>
  <c r="T22" i="7"/>
  <c r="T50" i="7" s="1"/>
  <c r="X22" i="7"/>
  <c r="Y22" i="7"/>
  <c r="AC22" i="7"/>
  <c r="F23" i="7"/>
  <c r="K23" i="7" s="1"/>
  <c r="Z23" i="7" s="1"/>
  <c r="T23" i="7"/>
  <c r="U23" i="7" s="1"/>
  <c r="AE23" i="7" s="1"/>
  <c r="X23" i="7"/>
  <c r="Y23" i="7"/>
  <c r="AC23" i="7"/>
  <c r="F24" i="7"/>
  <c r="T24" i="7"/>
  <c r="U24" i="7" s="1"/>
  <c r="X24" i="7"/>
  <c r="Y24" i="7"/>
  <c r="AC24" i="7"/>
  <c r="F25" i="7"/>
  <c r="T25" i="7"/>
  <c r="X25" i="7"/>
  <c r="Y25" i="7"/>
  <c r="AC25" i="7"/>
  <c r="F26" i="7"/>
  <c r="T26" i="7"/>
  <c r="U26" i="7" s="1"/>
  <c r="X26" i="7"/>
  <c r="Y26" i="7"/>
  <c r="AC26" i="7"/>
  <c r="F28" i="7"/>
  <c r="K28" i="7" s="1"/>
  <c r="T28" i="7"/>
  <c r="U28" i="7" s="1"/>
  <c r="AE28" i="7" s="1"/>
  <c r="X28" i="7"/>
  <c r="Y28" i="7"/>
  <c r="AC28" i="7"/>
  <c r="F29" i="7"/>
  <c r="T29" i="7"/>
  <c r="U29" i="7" s="1"/>
  <c r="X29" i="7"/>
  <c r="Y29" i="7"/>
  <c r="AC29" i="7"/>
  <c r="F30" i="7"/>
  <c r="K30" i="7" s="1"/>
  <c r="T30" i="7"/>
  <c r="U30" i="7" s="1"/>
  <c r="X30" i="7"/>
  <c r="Y30" i="7"/>
  <c r="AC30" i="7"/>
  <c r="F31" i="7"/>
  <c r="K31" i="7" s="1"/>
  <c r="T31" i="7"/>
  <c r="U31" i="7" s="1"/>
  <c r="X31" i="7"/>
  <c r="Y31" i="7"/>
  <c r="AC31" i="7"/>
  <c r="F32" i="7"/>
  <c r="K32" i="7" s="1"/>
  <c r="T32" i="7"/>
  <c r="X32" i="7"/>
  <c r="Y32" i="7"/>
  <c r="AC32" i="7"/>
  <c r="F33" i="7"/>
  <c r="T33" i="7"/>
  <c r="X33" i="7"/>
  <c r="Y33" i="7"/>
  <c r="AC33" i="7"/>
  <c r="F34" i="7"/>
  <c r="K34" i="7" s="1"/>
  <c r="Z34" i="7" s="1"/>
  <c r="T34" i="7"/>
  <c r="U34" i="7" s="1"/>
  <c r="X34" i="7"/>
  <c r="Y34" i="7"/>
  <c r="AC34" i="7"/>
  <c r="B36" i="7"/>
  <c r="D44" i="7"/>
  <c r="D50" i="7"/>
  <c r="G50" i="7"/>
  <c r="H50" i="7"/>
  <c r="I50" i="7"/>
  <c r="J50" i="7"/>
  <c r="Q50" i="7"/>
  <c r="S50" i="7"/>
  <c r="D54" i="7"/>
  <c r="G54" i="7"/>
  <c r="H54" i="7"/>
  <c r="I54" i="7"/>
  <c r="J54" i="7"/>
  <c r="Q54" i="7"/>
  <c r="S54" i="7"/>
  <c r="U1" i="6"/>
  <c r="D41" i="6" s="1"/>
  <c r="K2" i="6"/>
  <c r="U2" i="6" s="1"/>
  <c r="D40" i="6" s="1"/>
  <c r="K3" i="6"/>
  <c r="U3" i="6" s="1"/>
  <c r="D42" i="6" s="1"/>
  <c r="X14" i="6"/>
  <c r="I49" i="6"/>
  <c r="J49" i="6"/>
  <c r="O14" i="6"/>
  <c r="AA14" i="6" s="1"/>
  <c r="AB14" i="6"/>
  <c r="AD14" i="6"/>
  <c r="F16" i="6"/>
  <c r="K16" i="6" s="1"/>
  <c r="U16" i="6"/>
  <c r="AE16" i="6" s="1"/>
  <c r="X16" i="6"/>
  <c r="Y16" i="6"/>
  <c r="AC16" i="6"/>
  <c r="F17" i="6"/>
  <c r="U17" i="6"/>
  <c r="AE17" i="6" s="1"/>
  <c r="X17" i="6"/>
  <c r="Y17" i="6"/>
  <c r="AC17" i="6"/>
  <c r="F19" i="6"/>
  <c r="K19" i="6" s="1"/>
  <c r="X19" i="6"/>
  <c r="Y19" i="6"/>
  <c r="AC19" i="6"/>
  <c r="AE19" i="6"/>
  <c r="F21" i="6"/>
  <c r="K21" i="6" s="1"/>
  <c r="Z21" i="6" s="1"/>
  <c r="T21" i="6"/>
  <c r="X21" i="6"/>
  <c r="Y21" i="6"/>
  <c r="AC21" i="6"/>
  <c r="F22" i="6"/>
  <c r="K22" i="6" s="1"/>
  <c r="T22" i="6"/>
  <c r="U22" i="6" s="1"/>
  <c r="X22" i="6"/>
  <c r="Y22" i="6"/>
  <c r="AC22" i="6"/>
  <c r="F23" i="6"/>
  <c r="T23" i="6"/>
  <c r="U23" i="6" s="1"/>
  <c r="X23" i="6"/>
  <c r="Y23" i="6"/>
  <c r="AC23" i="6"/>
  <c r="F24" i="6"/>
  <c r="K24" i="6" s="1"/>
  <c r="Z24" i="6" s="1"/>
  <c r="T24" i="6"/>
  <c r="X24" i="6"/>
  <c r="Y24" i="6"/>
  <c r="AC24" i="6"/>
  <c r="F25" i="6"/>
  <c r="T25" i="6"/>
  <c r="U25" i="6" s="1"/>
  <c r="X25" i="6"/>
  <c r="Y25" i="6"/>
  <c r="AC25" i="6"/>
  <c r="F26" i="6"/>
  <c r="K26" i="6" s="1"/>
  <c r="Z26" i="6" s="1"/>
  <c r="T26" i="6"/>
  <c r="U26" i="6" s="1"/>
  <c r="AE26" i="6" s="1"/>
  <c r="X26" i="6"/>
  <c r="Y26" i="6"/>
  <c r="AC26" i="6"/>
  <c r="F28" i="6"/>
  <c r="K28" i="6" s="1"/>
  <c r="T28" i="6"/>
  <c r="U28" i="6" s="1"/>
  <c r="X28" i="6"/>
  <c r="Y28" i="6"/>
  <c r="AC28" i="6"/>
  <c r="F29" i="6"/>
  <c r="T29" i="6"/>
  <c r="U29" i="6" s="1"/>
  <c r="AE29" i="6" s="1"/>
  <c r="X29" i="6"/>
  <c r="Y29" i="6"/>
  <c r="AC29" i="6"/>
  <c r="F30" i="6"/>
  <c r="K30" i="6" s="1"/>
  <c r="Z30" i="6" s="1"/>
  <c r="T30" i="6"/>
  <c r="U30" i="6" s="1"/>
  <c r="X30" i="6"/>
  <c r="Y30" i="6"/>
  <c r="AC30" i="6"/>
  <c r="F31" i="6"/>
  <c r="K31" i="6" s="1"/>
  <c r="T31" i="6"/>
  <c r="U31" i="6" s="1"/>
  <c r="X31" i="6"/>
  <c r="Y31" i="6"/>
  <c r="AC31" i="6"/>
  <c r="F32" i="6"/>
  <c r="K32" i="6" s="1"/>
  <c r="Z32" i="6" s="1"/>
  <c r="T32" i="6"/>
  <c r="X32" i="6"/>
  <c r="Y32" i="6"/>
  <c r="AC32" i="6"/>
  <c r="F33" i="6"/>
  <c r="K33" i="6" s="1"/>
  <c r="Z33" i="6" s="1"/>
  <c r="T33" i="6"/>
  <c r="T54" i="6" s="1"/>
  <c r="X33" i="6"/>
  <c r="Y33" i="6"/>
  <c r="AC33" i="6"/>
  <c r="F34" i="6"/>
  <c r="T34" i="6"/>
  <c r="U34" i="6" s="1"/>
  <c r="X34" i="6"/>
  <c r="Y34" i="6"/>
  <c r="AC34" i="6"/>
  <c r="B36" i="6"/>
  <c r="D44" i="6"/>
  <c r="E49" i="6"/>
  <c r="D50" i="6"/>
  <c r="G50" i="6"/>
  <c r="H50" i="6"/>
  <c r="I50" i="6"/>
  <c r="J50" i="6"/>
  <c r="Q50" i="6"/>
  <c r="S50" i="6"/>
  <c r="D54" i="6"/>
  <c r="G54" i="6"/>
  <c r="H54" i="6"/>
  <c r="I54" i="6"/>
  <c r="J54" i="6"/>
  <c r="Q54" i="6"/>
  <c r="S54" i="6"/>
  <c r="U1" i="5"/>
  <c r="D41" i="5" s="1"/>
  <c r="K2" i="5"/>
  <c r="U2" i="5" s="1"/>
  <c r="D40" i="5" s="1"/>
  <c r="K3" i="5"/>
  <c r="U3" i="5" s="1"/>
  <c r="D42" i="5" s="1"/>
  <c r="O14" i="5"/>
  <c r="AA14" i="5" s="1"/>
  <c r="AB14" i="5"/>
  <c r="AD14" i="5"/>
  <c r="F16" i="5"/>
  <c r="U16" i="5"/>
  <c r="AE16" i="5" s="1"/>
  <c r="X16" i="5"/>
  <c r="Y16" i="5"/>
  <c r="AC16" i="5"/>
  <c r="F17" i="5"/>
  <c r="K17" i="5" s="1"/>
  <c r="U17" i="5"/>
  <c r="X17" i="5"/>
  <c r="Y17" i="5"/>
  <c r="AC17" i="5"/>
  <c r="F19" i="5"/>
  <c r="K19" i="5" s="1"/>
  <c r="X19" i="5"/>
  <c r="Y19" i="5"/>
  <c r="AC19" i="5"/>
  <c r="AE19" i="5"/>
  <c r="F21" i="5"/>
  <c r="K21" i="5" s="1"/>
  <c r="Z21" i="5" s="1"/>
  <c r="T21" i="5"/>
  <c r="X21" i="5"/>
  <c r="Y21" i="5"/>
  <c r="AC21" i="5"/>
  <c r="F22" i="5"/>
  <c r="T22" i="5"/>
  <c r="U22" i="5" s="1"/>
  <c r="AE22" i="5" s="1"/>
  <c r="X22" i="5"/>
  <c r="Y22" i="5"/>
  <c r="AC22" i="5"/>
  <c r="F23" i="5"/>
  <c r="K23" i="5" s="1"/>
  <c r="T23" i="5"/>
  <c r="U23" i="5" s="1"/>
  <c r="X23" i="5"/>
  <c r="Y23" i="5"/>
  <c r="AC23" i="5"/>
  <c r="F24" i="5"/>
  <c r="K24" i="5" s="1"/>
  <c r="Z24" i="5" s="1"/>
  <c r="T24" i="5"/>
  <c r="U24" i="5" s="1"/>
  <c r="AE24" i="5" s="1"/>
  <c r="X24" i="5"/>
  <c r="Y24" i="5"/>
  <c r="AC24" i="5"/>
  <c r="F25" i="5"/>
  <c r="T25" i="5"/>
  <c r="X25" i="5"/>
  <c r="Y25" i="5"/>
  <c r="AC25" i="5"/>
  <c r="F26" i="5"/>
  <c r="K26" i="5" s="1"/>
  <c r="Z26" i="5" s="1"/>
  <c r="T26" i="5"/>
  <c r="U26" i="5" s="1"/>
  <c r="X26" i="5"/>
  <c r="Y26" i="5"/>
  <c r="AC26" i="5"/>
  <c r="F28" i="5"/>
  <c r="K28" i="5" s="1"/>
  <c r="Z28" i="5" s="1"/>
  <c r="T28" i="5"/>
  <c r="U28" i="5" s="1"/>
  <c r="AE28" i="5" s="1"/>
  <c r="X28" i="5"/>
  <c r="Y28" i="5"/>
  <c r="AC28" i="5"/>
  <c r="F29" i="5"/>
  <c r="T29" i="5"/>
  <c r="U29" i="5" s="1"/>
  <c r="X29" i="5"/>
  <c r="Y29" i="5"/>
  <c r="AC29" i="5"/>
  <c r="AE29" i="5"/>
  <c r="F30" i="5"/>
  <c r="T30" i="5"/>
  <c r="U30" i="5" s="1"/>
  <c r="X30" i="5"/>
  <c r="Y30" i="5"/>
  <c r="AC30" i="5"/>
  <c r="F31" i="5"/>
  <c r="K31" i="5" s="1"/>
  <c r="Z31" i="5" s="1"/>
  <c r="T31" i="5"/>
  <c r="U31" i="5" s="1"/>
  <c r="X31" i="5"/>
  <c r="Y31" i="5"/>
  <c r="AC31" i="5"/>
  <c r="F32" i="5"/>
  <c r="K32" i="5" s="1"/>
  <c r="T32" i="5"/>
  <c r="X32" i="5"/>
  <c r="Y32" i="5"/>
  <c r="AC32" i="5"/>
  <c r="F33" i="5"/>
  <c r="K33" i="5" s="1"/>
  <c r="T33" i="5"/>
  <c r="U33" i="5" s="1"/>
  <c r="X33" i="5"/>
  <c r="Y33" i="5"/>
  <c r="AC33" i="5"/>
  <c r="F34" i="5"/>
  <c r="K34" i="5" s="1"/>
  <c r="T34" i="5"/>
  <c r="U34" i="5" s="1"/>
  <c r="X34" i="5"/>
  <c r="Y34" i="5"/>
  <c r="AC34" i="5"/>
  <c r="B36" i="5"/>
  <c r="D44" i="5"/>
  <c r="D50" i="5"/>
  <c r="G50" i="5"/>
  <c r="H50" i="5"/>
  <c r="I50" i="5"/>
  <c r="J50" i="5"/>
  <c r="Q50" i="5"/>
  <c r="S50" i="5"/>
  <c r="D54" i="5"/>
  <c r="G54" i="5"/>
  <c r="H54" i="5"/>
  <c r="I54" i="5"/>
  <c r="J54" i="5"/>
  <c r="Q54" i="5"/>
  <c r="S54" i="5"/>
  <c r="U1" i="4"/>
  <c r="D41" i="4" s="1"/>
  <c r="K2" i="4"/>
  <c r="U2" i="4" s="1"/>
  <c r="D40" i="4" s="1"/>
  <c r="K3" i="4"/>
  <c r="U3" i="4" s="1"/>
  <c r="D42" i="4" s="1"/>
  <c r="X14" i="4"/>
  <c r="O14" i="4"/>
  <c r="AB14" i="4"/>
  <c r="AD14" i="4"/>
  <c r="F16" i="4"/>
  <c r="K16" i="4" s="1"/>
  <c r="U16" i="4"/>
  <c r="AE16" i="4" s="1"/>
  <c r="X16" i="4"/>
  <c r="Y16" i="4"/>
  <c r="AC16" i="4"/>
  <c r="F17" i="4"/>
  <c r="U17" i="4"/>
  <c r="AE17" i="4" s="1"/>
  <c r="X17" i="4"/>
  <c r="Y17" i="4"/>
  <c r="AC17" i="4"/>
  <c r="F19" i="4"/>
  <c r="K19" i="4" s="1"/>
  <c r="X19" i="4"/>
  <c r="Y19" i="4"/>
  <c r="AC19" i="4"/>
  <c r="AE19" i="4"/>
  <c r="F21" i="4"/>
  <c r="K21" i="4" s="1"/>
  <c r="T21" i="4"/>
  <c r="X21" i="4"/>
  <c r="Y21" i="4"/>
  <c r="AC21" i="4"/>
  <c r="F22" i="4"/>
  <c r="T22" i="4"/>
  <c r="U22" i="4" s="1"/>
  <c r="X22" i="4"/>
  <c r="Y22" i="4"/>
  <c r="AC22" i="4"/>
  <c r="F23" i="4"/>
  <c r="K23" i="4" s="1"/>
  <c r="Z23" i="4" s="1"/>
  <c r="T23" i="4"/>
  <c r="X23" i="4"/>
  <c r="Y23" i="4"/>
  <c r="AC23" i="4"/>
  <c r="F24" i="4"/>
  <c r="K24" i="4" s="1"/>
  <c r="T24" i="4"/>
  <c r="U24" i="4" s="1"/>
  <c r="AE24" i="4" s="1"/>
  <c r="X24" i="4"/>
  <c r="Y24" i="4"/>
  <c r="AC24" i="4"/>
  <c r="F25" i="4"/>
  <c r="T25" i="4"/>
  <c r="U25" i="4" s="1"/>
  <c r="X25" i="4"/>
  <c r="Y25" i="4"/>
  <c r="AC25" i="4"/>
  <c r="F26" i="4"/>
  <c r="T26" i="4"/>
  <c r="U26" i="4" s="1"/>
  <c r="AE26" i="4" s="1"/>
  <c r="X26" i="4"/>
  <c r="Y26" i="4"/>
  <c r="AC26" i="4"/>
  <c r="F28" i="4"/>
  <c r="K28" i="4" s="1"/>
  <c r="T28" i="4"/>
  <c r="X28" i="4"/>
  <c r="Y28" i="4"/>
  <c r="AC28" i="4"/>
  <c r="F29" i="4"/>
  <c r="K29" i="4" s="1"/>
  <c r="Z29" i="4" s="1"/>
  <c r="T29" i="4"/>
  <c r="U29" i="4" s="1"/>
  <c r="X29" i="4"/>
  <c r="Y29" i="4"/>
  <c r="AC29" i="4"/>
  <c r="F30" i="4"/>
  <c r="K30" i="4" s="1"/>
  <c r="Z30" i="4" s="1"/>
  <c r="T30" i="4"/>
  <c r="X30" i="4"/>
  <c r="Y30" i="4"/>
  <c r="AC30" i="4"/>
  <c r="F31" i="4"/>
  <c r="K31" i="4" s="1"/>
  <c r="Z31" i="4" s="1"/>
  <c r="T31" i="4"/>
  <c r="U31" i="4" s="1"/>
  <c r="X31" i="4"/>
  <c r="Y31" i="4"/>
  <c r="AC31" i="4"/>
  <c r="F32" i="4"/>
  <c r="K32" i="4" s="1"/>
  <c r="T32" i="4"/>
  <c r="U32" i="4" s="1"/>
  <c r="X32" i="4"/>
  <c r="Y32" i="4"/>
  <c r="AC32" i="4"/>
  <c r="F33" i="4"/>
  <c r="T33" i="4"/>
  <c r="U33" i="4" s="1"/>
  <c r="X33" i="4"/>
  <c r="Y33" i="4"/>
  <c r="AC33" i="4"/>
  <c r="F34" i="4"/>
  <c r="K34" i="4" s="1"/>
  <c r="Z34" i="4" s="1"/>
  <c r="T34" i="4"/>
  <c r="U34" i="4" s="1"/>
  <c r="X34" i="4"/>
  <c r="Y34" i="4"/>
  <c r="AC34" i="4"/>
  <c r="B36" i="4"/>
  <c r="D44" i="4"/>
  <c r="D49" i="4"/>
  <c r="G49" i="4"/>
  <c r="H49" i="4"/>
  <c r="I49" i="4"/>
  <c r="D50" i="4"/>
  <c r="G50" i="4"/>
  <c r="H50" i="4"/>
  <c r="I50" i="4"/>
  <c r="J50" i="4"/>
  <c r="Q50" i="4"/>
  <c r="S50" i="4"/>
  <c r="D54" i="4"/>
  <c r="G54" i="4"/>
  <c r="H54" i="4"/>
  <c r="I54" i="4"/>
  <c r="J54" i="4"/>
  <c r="Q54" i="4"/>
  <c r="S54" i="4"/>
  <c r="U1" i="3"/>
  <c r="D41" i="3" s="1"/>
  <c r="K2" i="3"/>
  <c r="U2" i="3" s="1"/>
  <c r="D40" i="3" s="1"/>
  <c r="K3" i="3"/>
  <c r="U3" i="3" s="1"/>
  <c r="D42" i="3" s="1"/>
  <c r="J49" i="3"/>
  <c r="O14" i="3"/>
  <c r="AA14" i="3" s="1"/>
  <c r="AB14" i="3"/>
  <c r="AD14" i="3"/>
  <c r="F16" i="3"/>
  <c r="K16" i="3" s="1"/>
  <c r="U16" i="3"/>
  <c r="AE16" i="3" s="1"/>
  <c r="X16" i="3"/>
  <c r="Y16" i="3"/>
  <c r="AC16" i="3"/>
  <c r="F17" i="3"/>
  <c r="U17" i="3"/>
  <c r="X17" i="3"/>
  <c r="Y17" i="3"/>
  <c r="AC17" i="3"/>
  <c r="F19" i="3"/>
  <c r="K19" i="3" s="1"/>
  <c r="X19" i="3"/>
  <c r="Y19" i="3"/>
  <c r="AC19" i="3"/>
  <c r="AE19" i="3"/>
  <c r="F21" i="3"/>
  <c r="K21" i="3" s="1"/>
  <c r="T21" i="3"/>
  <c r="U21" i="3" s="1"/>
  <c r="X21" i="3"/>
  <c r="Y21" i="3"/>
  <c r="AC21" i="3"/>
  <c r="F22" i="3"/>
  <c r="K22" i="3" s="1"/>
  <c r="T22" i="3"/>
  <c r="U22" i="3" s="1"/>
  <c r="X22" i="3"/>
  <c r="Y22" i="3"/>
  <c r="AC22" i="3"/>
  <c r="F23" i="3"/>
  <c r="T23" i="3"/>
  <c r="U23" i="3" s="1"/>
  <c r="X23" i="3"/>
  <c r="Y23" i="3"/>
  <c r="AC23" i="3"/>
  <c r="F24" i="3"/>
  <c r="K24" i="3" s="1"/>
  <c r="Z24" i="3" s="1"/>
  <c r="T24" i="3"/>
  <c r="U24" i="3" s="1"/>
  <c r="X24" i="3"/>
  <c r="Y24" i="3"/>
  <c r="AC24" i="3"/>
  <c r="F25" i="3"/>
  <c r="T25" i="3"/>
  <c r="U25" i="3" s="1"/>
  <c r="U51" i="3" s="1"/>
  <c r="X25" i="3"/>
  <c r="Y25" i="3"/>
  <c r="AC25" i="3"/>
  <c r="F26" i="3"/>
  <c r="K26" i="3" s="1"/>
  <c r="T26" i="3"/>
  <c r="U26" i="3" s="1"/>
  <c r="AE26" i="3" s="1"/>
  <c r="X26" i="3"/>
  <c r="Y26" i="3"/>
  <c r="AC26" i="3"/>
  <c r="F28" i="3"/>
  <c r="T28" i="3"/>
  <c r="U28" i="3" s="1"/>
  <c r="AE28" i="3" s="1"/>
  <c r="X28" i="3"/>
  <c r="Y28" i="3"/>
  <c r="AC28" i="3"/>
  <c r="F29" i="3"/>
  <c r="T29" i="3"/>
  <c r="X29" i="3"/>
  <c r="Y29" i="3"/>
  <c r="AC29" i="3"/>
  <c r="F30" i="3"/>
  <c r="K30" i="3" s="1"/>
  <c r="T30" i="3"/>
  <c r="U30" i="3" s="1"/>
  <c r="X30" i="3"/>
  <c r="Y30" i="3"/>
  <c r="AC30" i="3"/>
  <c r="F31" i="3"/>
  <c r="K31" i="3" s="1"/>
  <c r="T31" i="3"/>
  <c r="U31" i="3" s="1"/>
  <c r="X31" i="3"/>
  <c r="Y31" i="3"/>
  <c r="AC31" i="3"/>
  <c r="F32" i="3"/>
  <c r="K32" i="3" s="1"/>
  <c r="T32" i="3"/>
  <c r="U32" i="3" s="1"/>
  <c r="X32" i="3"/>
  <c r="Y32" i="3"/>
  <c r="AC32" i="3"/>
  <c r="F33" i="3"/>
  <c r="K33" i="3" s="1"/>
  <c r="T33" i="3"/>
  <c r="U33" i="3" s="1"/>
  <c r="U54" i="3" s="1"/>
  <c r="X33" i="3"/>
  <c r="Y33" i="3"/>
  <c r="AC33" i="3"/>
  <c r="F34" i="3"/>
  <c r="K34" i="3" s="1"/>
  <c r="T34" i="3"/>
  <c r="U34" i="3" s="1"/>
  <c r="X34" i="3"/>
  <c r="Y34" i="3"/>
  <c r="AC34" i="3"/>
  <c r="B36" i="3"/>
  <c r="D44" i="3"/>
  <c r="D50" i="3"/>
  <c r="G50" i="3"/>
  <c r="H50" i="3"/>
  <c r="I50" i="3"/>
  <c r="J50" i="3"/>
  <c r="Q50" i="3"/>
  <c r="S50" i="3"/>
  <c r="D54" i="3"/>
  <c r="G54" i="3"/>
  <c r="H54" i="3"/>
  <c r="I54" i="3"/>
  <c r="J54" i="3"/>
  <c r="Q54" i="3"/>
  <c r="S54" i="3"/>
  <c r="H45" i="1"/>
  <c r="AE17" i="9"/>
  <c r="AC14" i="4"/>
  <c r="K30" i="5"/>
  <c r="Z30" i="5" s="1"/>
  <c r="K16" i="5"/>
  <c r="K17" i="7"/>
  <c r="K29" i="5"/>
  <c r="U25" i="8"/>
  <c r="AE25" i="8" s="1"/>
  <c r="D49" i="6"/>
  <c r="K33" i="8"/>
  <c r="AE17" i="5"/>
  <c r="U33" i="7"/>
  <c r="Z23" i="5"/>
  <c r="Z19" i="7"/>
  <c r="K17" i="3"/>
  <c r="Z17" i="3" s="1"/>
  <c r="F54" i="4"/>
  <c r="Z34" i="3"/>
  <c r="K29" i="3"/>
  <c r="Z29" i="3" s="1"/>
  <c r="K19" i="9"/>
  <c r="K34" i="9"/>
  <c r="Z34" i="9" s="1"/>
  <c r="E49" i="8"/>
  <c r="K31" i="8"/>
  <c r="Z31" i="8" s="1"/>
  <c r="H35" i="1"/>
  <c r="I480" i="20" l="1"/>
  <c r="L480" i="20" s="1"/>
  <c r="I478" i="20"/>
  <c r="L478" i="20" s="1"/>
  <c r="L479" i="20"/>
  <c r="T50" i="8"/>
  <c r="L471" i="20"/>
  <c r="I470" i="20"/>
  <c r="L470" i="20" s="1"/>
  <c r="T50" i="6"/>
  <c r="AE24" i="3"/>
  <c r="S49" i="3"/>
  <c r="F51" i="9"/>
  <c r="I703" i="20"/>
  <c r="Z28" i="8"/>
  <c r="F14" i="4"/>
  <c r="K14" i="4" s="1"/>
  <c r="Z14" i="4" s="1"/>
  <c r="K54" i="3"/>
  <c r="K54" i="5"/>
  <c r="T50" i="5"/>
  <c r="K160" i="10"/>
  <c r="I482" i="20" s="1"/>
  <c r="L482" i="20" s="1"/>
  <c r="AE26" i="5"/>
  <c r="Z30" i="3"/>
  <c r="AE28" i="6"/>
  <c r="U52" i="4"/>
  <c r="E49" i="4"/>
  <c r="T51" i="3"/>
  <c r="F51" i="6"/>
  <c r="AE27" i="8"/>
  <c r="F50" i="3"/>
  <c r="T51" i="8"/>
  <c r="Y14" i="4"/>
  <c r="K50" i="3"/>
  <c r="F54" i="7"/>
  <c r="K50" i="7"/>
  <c r="F50" i="8"/>
  <c r="T54" i="9"/>
  <c r="AE20" i="6"/>
  <c r="S49" i="4"/>
  <c r="Z16" i="8"/>
  <c r="U50" i="3"/>
  <c r="K50" i="6"/>
  <c r="F14" i="3"/>
  <c r="K14" i="3" s="1"/>
  <c r="AE25" i="3"/>
  <c r="AE31" i="5"/>
  <c r="Z31" i="3"/>
  <c r="S49" i="5"/>
  <c r="Z32" i="7"/>
  <c r="T50" i="9"/>
  <c r="T52" i="9"/>
  <c r="Z32" i="3"/>
  <c r="D49" i="3"/>
  <c r="F54" i="3"/>
  <c r="K54" i="8"/>
  <c r="Y14" i="7"/>
  <c r="Z16" i="5"/>
  <c r="Z19" i="6"/>
  <c r="AE32" i="3"/>
  <c r="AE21" i="3"/>
  <c r="Z19" i="3"/>
  <c r="Z32" i="4"/>
  <c r="AE31" i="4"/>
  <c r="K25" i="6"/>
  <c r="Z25" i="6" s="1"/>
  <c r="K33" i="7"/>
  <c r="K54" i="7" s="1"/>
  <c r="Z22" i="7"/>
  <c r="Z17" i="7"/>
  <c r="AE29" i="9"/>
  <c r="F52" i="9"/>
  <c r="K52" i="5"/>
  <c r="T14" i="4"/>
  <c r="T49" i="4" s="1"/>
  <c r="F51" i="3"/>
  <c r="AE33" i="3"/>
  <c r="K25" i="3"/>
  <c r="Z25" i="3" s="1"/>
  <c r="U33" i="6"/>
  <c r="AE33" i="6" s="1"/>
  <c r="AE34" i="7"/>
  <c r="Z31" i="7"/>
  <c r="U22" i="8"/>
  <c r="AE22" i="8" s="1"/>
  <c r="U33" i="9"/>
  <c r="U54" i="9" s="1"/>
  <c r="Z19" i="9"/>
  <c r="F50" i="7"/>
  <c r="Z31" i="9"/>
  <c r="K22" i="9"/>
  <c r="K50" i="9" s="1"/>
  <c r="F54" i="8"/>
  <c r="U52" i="9"/>
  <c r="S49" i="9"/>
  <c r="AE33" i="8"/>
  <c r="AE26" i="9"/>
  <c r="U51" i="8"/>
  <c r="K54" i="6"/>
  <c r="U50" i="9"/>
  <c r="Z33" i="3"/>
  <c r="Z21" i="3"/>
  <c r="Z29" i="8"/>
  <c r="AE30" i="9"/>
  <c r="Z24" i="9"/>
  <c r="Z20" i="3"/>
  <c r="F54" i="6"/>
  <c r="F14" i="9"/>
  <c r="F49" i="9" s="1"/>
  <c r="X14" i="9"/>
  <c r="K22" i="8"/>
  <c r="K50" i="8" s="1"/>
  <c r="Z21" i="4"/>
  <c r="U51" i="9"/>
  <c r="F27" i="11"/>
  <c r="F49" i="3"/>
  <c r="Z26" i="8"/>
  <c r="Y14" i="9"/>
  <c r="T54" i="8"/>
  <c r="AE28" i="9"/>
  <c r="U54" i="4"/>
  <c r="Z29" i="5"/>
  <c r="Z16" i="6"/>
  <c r="U32" i="7"/>
  <c r="U54" i="7" s="1"/>
  <c r="AE31" i="7"/>
  <c r="AE21" i="7"/>
  <c r="F14" i="7"/>
  <c r="K14" i="7" s="1"/>
  <c r="Q49" i="7" s="1"/>
  <c r="K25" i="9"/>
  <c r="F52" i="3"/>
  <c r="F61" i="11"/>
  <c r="I61" i="11" s="1"/>
  <c r="AE33" i="4"/>
  <c r="Q49" i="3"/>
  <c r="Z23" i="8"/>
  <c r="Z28" i="6"/>
  <c r="AE22" i="3"/>
  <c r="U54" i="8"/>
  <c r="U50" i="8"/>
  <c r="Z19" i="5"/>
  <c r="F54" i="5"/>
  <c r="Z33" i="8"/>
  <c r="T50" i="3"/>
  <c r="AE30" i="3"/>
  <c r="AE29" i="4"/>
  <c r="Z34" i="5"/>
  <c r="T54" i="7"/>
  <c r="K20" i="4"/>
  <c r="Z20" i="4" s="1"/>
  <c r="F52" i="8"/>
  <c r="B179" i="10"/>
  <c r="T52" i="6"/>
  <c r="U27" i="6"/>
  <c r="U52" i="6" s="1"/>
  <c r="Z27" i="7"/>
  <c r="K23" i="3"/>
  <c r="Z23" i="3" s="1"/>
  <c r="AE17" i="3"/>
  <c r="U28" i="4"/>
  <c r="AE28" i="4"/>
  <c r="K26" i="4"/>
  <c r="Z26" i="4" s="1"/>
  <c r="U23" i="4"/>
  <c r="I395" i="20" s="1"/>
  <c r="K29" i="7"/>
  <c r="Z29" i="7" s="1"/>
  <c r="F51" i="7"/>
  <c r="K25" i="7"/>
  <c r="AE33" i="7"/>
  <c r="U32" i="6"/>
  <c r="E49" i="3"/>
  <c r="Y14" i="3"/>
  <c r="K17" i="6"/>
  <c r="Z17" i="6" s="1"/>
  <c r="K16" i="7"/>
  <c r="Z16" i="7" s="1"/>
  <c r="Z24" i="8"/>
  <c r="K33" i="4"/>
  <c r="K54" i="4" s="1"/>
  <c r="U30" i="4"/>
  <c r="AE30" i="4" s="1"/>
  <c r="U24" i="6"/>
  <c r="U51" i="6" s="1"/>
  <c r="K26" i="7"/>
  <c r="K52" i="7" s="1"/>
  <c r="U23" i="9"/>
  <c r="AE23" i="9" s="1"/>
  <c r="T14" i="9"/>
  <c r="Z14" i="3"/>
  <c r="U51" i="4"/>
  <c r="K25" i="5"/>
  <c r="F51" i="5"/>
  <c r="K29" i="6"/>
  <c r="Z29" i="6" s="1"/>
  <c r="U28" i="8"/>
  <c r="AE28" i="8" s="1"/>
  <c r="U20" i="7"/>
  <c r="AE20" i="7" s="1"/>
  <c r="T14" i="7"/>
  <c r="S49" i="7"/>
  <c r="AC14" i="7"/>
  <c r="S49" i="6"/>
  <c r="H44" i="1"/>
  <c r="H43" i="1"/>
  <c r="AE31" i="3"/>
  <c r="K17" i="4"/>
  <c r="Z17" i="4" s="1"/>
  <c r="F49" i="4"/>
  <c r="K34" i="6"/>
  <c r="Z34" i="6" s="1"/>
  <c r="K23" i="6"/>
  <c r="Z23" i="6" s="1"/>
  <c r="T50" i="4"/>
  <c r="AE22" i="4"/>
  <c r="U21" i="6"/>
  <c r="AE21" i="6" s="1"/>
  <c r="T14" i="6"/>
  <c r="F54" i="9"/>
  <c r="K33" i="9"/>
  <c r="K54" i="9" s="1"/>
  <c r="Z25" i="7"/>
  <c r="Z16" i="3"/>
  <c r="U29" i="3"/>
  <c r="AE29" i="3" s="1"/>
  <c r="K28" i="3"/>
  <c r="AE23" i="3"/>
  <c r="U34" i="9"/>
  <c r="AE34" i="9" s="1"/>
  <c r="AE31" i="6"/>
  <c r="T51" i="6"/>
  <c r="AE25" i="6"/>
  <c r="U22" i="7"/>
  <c r="U50" i="7" s="1"/>
  <c r="Z14" i="7"/>
  <c r="U30" i="8"/>
  <c r="AE30" i="8" s="1"/>
  <c r="F52" i="4"/>
  <c r="U52" i="8"/>
  <c r="U52" i="7"/>
  <c r="T14" i="3"/>
  <c r="Z32" i="5"/>
  <c r="K16" i="9"/>
  <c r="Z17" i="5"/>
  <c r="Z22" i="3"/>
  <c r="AE34" i="4"/>
  <c r="Z28" i="4"/>
  <c r="K22" i="4"/>
  <c r="F50" i="4"/>
  <c r="U32" i="5"/>
  <c r="U54" i="5" s="1"/>
  <c r="U25" i="5"/>
  <c r="U51" i="5" s="1"/>
  <c r="T51" i="5"/>
  <c r="U21" i="5"/>
  <c r="AE21" i="5" s="1"/>
  <c r="Z31" i="6"/>
  <c r="Z30" i="7"/>
  <c r="F50" i="9"/>
  <c r="K52" i="3"/>
  <c r="Z27" i="3"/>
  <c r="Y14" i="8"/>
  <c r="F14" i="8"/>
  <c r="AC14" i="8"/>
  <c r="S49" i="8"/>
  <c r="K23" i="9"/>
  <c r="Z23" i="9" s="1"/>
  <c r="Z21" i="9"/>
  <c r="Z33" i="5"/>
  <c r="T54" i="5"/>
  <c r="AE34" i="3"/>
  <c r="T54" i="3"/>
  <c r="Z24" i="4"/>
  <c r="AE34" i="5"/>
  <c r="AE33" i="5"/>
  <c r="AE22" i="6"/>
  <c r="D49" i="7"/>
  <c r="Z28" i="7"/>
  <c r="AE24" i="7"/>
  <c r="F51" i="8"/>
  <c r="K25" i="8"/>
  <c r="K29" i="9"/>
  <c r="Z29" i="9" s="1"/>
  <c r="K58" i="10"/>
  <c r="I467" i="20" s="1"/>
  <c r="Z27" i="4"/>
  <c r="K52" i="4"/>
  <c r="AE27" i="4"/>
  <c r="T52" i="8"/>
  <c r="Z26" i="3"/>
  <c r="T54" i="4"/>
  <c r="AE32" i="4"/>
  <c r="U21" i="4"/>
  <c r="U50" i="4" s="1"/>
  <c r="AA14" i="4"/>
  <c r="Q49" i="4"/>
  <c r="K22" i="5"/>
  <c r="F50" i="5"/>
  <c r="K24" i="7"/>
  <c r="Z24" i="7" s="1"/>
  <c r="Z22" i="8"/>
  <c r="U31" i="9"/>
  <c r="I398" i="20" s="1"/>
  <c r="AE31" i="9"/>
  <c r="K20" i="6"/>
  <c r="Z20" i="6" s="1"/>
  <c r="F52" i="7"/>
  <c r="U52" i="3"/>
  <c r="AE27" i="3"/>
  <c r="D49" i="5"/>
  <c r="F14" i="5"/>
  <c r="Y14" i="5"/>
  <c r="E49" i="5"/>
  <c r="AE23" i="6"/>
  <c r="F51" i="4"/>
  <c r="K25" i="4"/>
  <c r="AE23" i="5"/>
  <c r="AE34" i="6"/>
  <c r="AE30" i="6"/>
  <c r="Z22" i="6"/>
  <c r="F50" i="6"/>
  <c r="AE29" i="7"/>
  <c r="U25" i="7"/>
  <c r="U51" i="7" s="1"/>
  <c r="T51" i="7"/>
  <c r="AE25" i="7"/>
  <c r="K26" i="9"/>
  <c r="Z26" i="9" s="1"/>
  <c r="K27" i="6"/>
  <c r="K52" i="6" s="1"/>
  <c r="U20" i="3"/>
  <c r="AE20" i="3" s="1"/>
  <c r="AE20" i="5"/>
  <c r="T14" i="5"/>
  <c r="F52" i="6"/>
  <c r="AE25" i="4"/>
  <c r="AE26" i="7"/>
  <c r="AE32" i="8"/>
  <c r="Z30" i="8"/>
  <c r="AE24" i="8"/>
  <c r="T51" i="9"/>
  <c r="AE25" i="9"/>
  <c r="K27" i="8"/>
  <c r="AE27" i="7"/>
  <c r="T52" i="7"/>
  <c r="Z16" i="4"/>
  <c r="Z32" i="8"/>
  <c r="Z20" i="5"/>
  <c r="T52" i="5"/>
  <c r="U27" i="5"/>
  <c r="I396" i="20" s="1"/>
  <c r="T14" i="8"/>
  <c r="Z19" i="4"/>
  <c r="AE30" i="5"/>
  <c r="AE30" i="7"/>
  <c r="AE26" i="8"/>
  <c r="T51" i="4"/>
  <c r="F52" i="5"/>
  <c r="Z27" i="5"/>
  <c r="F14" i="6"/>
  <c r="F63" i="11"/>
  <c r="T52" i="4"/>
  <c r="T52" i="3"/>
  <c r="K27" i="9"/>
  <c r="K51" i="6" l="1"/>
  <c r="Z33" i="7"/>
  <c r="U54" i="6"/>
  <c r="F49" i="7"/>
  <c r="L467" i="20"/>
  <c r="I466" i="20"/>
  <c r="AE33" i="9"/>
  <c r="I397" i="20"/>
  <c r="AE32" i="7"/>
  <c r="AE27" i="6"/>
  <c r="Z27" i="6"/>
  <c r="I27" i="11"/>
  <c r="F5" i="11"/>
  <c r="U14" i="4"/>
  <c r="I401" i="20" s="1"/>
  <c r="K49" i="4"/>
  <c r="K14" i="9"/>
  <c r="Z16" i="9"/>
  <c r="K49" i="9"/>
  <c r="AE22" i="7"/>
  <c r="K49" i="7"/>
  <c r="K51" i="3"/>
  <c r="K49" i="3"/>
  <c r="Z33" i="9"/>
  <c r="AE21" i="4"/>
  <c r="AE32" i="5"/>
  <c r="U50" i="6"/>
  <c r="U50" i="5"/>
  <c r="Z25" i="9"/>
  <c r="K51" i="9"/>
  <c r="Z22" i="9"/>
  <c r="K50" i="5"/>
  <c r="Z22" i="5"/>
  <c r="F49" i="8"/>
  <c r="K14" i="8"/>
  <c r="K49" i="8" s="1"/>
  <c r="K51" i="5"/>
  <c r="Z25" i="5"/>
  <c r="Z33" i="4"/>
  <c r="T49" i="5"/>
  <c r="U14" i="5"/>
  <c r="I402" i="20" s="1"/>
  <c r="L402" i="20" s="1"/>
  <c r="K51" i="4"/>
  <c r="Z25" i="4"/>
  <c r="F49" i="5"/>
  <c r="K14" i="5"/>
  <c r="K49" i="5" s="1"/>
  <c r="Z28" i="3"/>
  <c r="T49" i="7"/>
  <c r="U14" i="7"/>
  <c r="I404" i="20" s="1"/>
  <c r="L404" i="20" s="1"/>
  <c r="Z26" i="7"/>
  <c r="AE32" i="6"/>
  <c r="AE23" i="4"/>
  <c r="K51" i="8"/>
  <c r="Z25" i="8"/>
  <c r="I63" i="11"/>
  <c r="AE25" i="5"/>
  <c r="T49" i="6"/>
  <c r="U14" i="6"/>
  <c r="I403" i="20" s="1"/>
  <c r="L403" i="20" s="1"/>
  <c r="AE24" i="6"/>
  <c r="U49" i="4"/>
  <c r="Q49" i="9"/>
  <c r="Z14" i="9"/>
  <c r="U14" i="8"/>
  <c r="I405" i="20" s="1"/>
  <c r="L405" i="20" s="1"/>
  <c r="T49" i="8"/>
  <c r="Z22" i="4"/>
  <c r="K50" i="4"/>
  <c r="N10" i="10"/>
  <c r="D178" i="10" s="1"/>
  <c r="D32" i="1" s="1"/>
  <c r="U14" i="9"/>
  <c r="I406" i="20" s="1"/>
  <c r="L406" i="20" s="1"/>
  <c r="T49" i="9"/>
  <c r="K51" i="7"/>
  <c r="K14" i="6"/>
  <c r="Q49" i="6" s="1"/>
  <c r="F49" i="6"/>
  <c r="Z27" i="9"/>
  <c r="K52" i="9"/>
  <c r="AE27" i="5"/>
  <c r="U52" i="5"/>
  <c r="K52" i="8"/>
  <c r="Z27" i="8"/>
  <c r="U14" i="3"/>
  <c r="I399" i="20" s="1"/>
  <c r="T49" i="3"/>
  <c r="L466" i="20" l="1"/>
  <c r="I465" i="20"/>
  <c r="L399" i="20"/>
  <c r="L401" i="20"/>
  <c r="I400" i="20"/>
  <c r="L400" i="20" s="1"/>
  <c r="H2" i="11"/>
  <c r="D33" i="1" s="1"/>
  <c r="AE14" i="7"/>
  <c r="AE14" i="8"/>
  <c r="AE14" i="4"/>
  <c r="D45" i="4" s="1"/>
  <c r="D24" i="1" s="1"/>
  <c r="K49" i="6"/>
  <c r="AE14" i="9"/>
  <c r="Z14" i="6"/>
  <c r="Q49" i="5"/>
  <c r="U49" i="3"/>
  <c r="Q49" i="8"/>
  <c r="Z14" i="5"/>
  <c r="U49" i="9"/>
  <c r="U49" i="8"/>
  <c r="U49" i="7"/>
  <c r="D45" i="7" s="1"/>
  <c r="D27" i="1" s="1"/>
  <c r="U49" i="5"/>
  <c r="AE14" i="3"/>
  <c r="U49" i="6"/>
  <c r="AE14" i="6"/>
  <c r="AE14" i="5"/>
  <c r="Z14" i="8"/>
  <c r="I464" i="20" l="1"/>
  <c r="L465" i="20"/>
  <c r="I393" i="20"/>
  <c r="D45" i="9"/>
  <c r="D29" i="1" s="1"/>
  <c r="D45" i="6"/>
  <c r="D26" i="1" s="1"/>
  <c r="D45" i="3"/>
  <c r="D23" i="1" s="1"/>
  <c r="D45" i="8"/>
  <c r="D28" i="1" s="1"/>
  <c r="D45" i="5"/>
  <c r="D25" i="1" s="1"/>
  <c r="L393" i="20" l="1"/>
  <c r="I392" i="20"/>
  <c r="L398" i="20"/>
  <c r="L395" i="20"/>
  <c r="L396" i="20"/>
  <c r="L397" i="20"/>
  <c r="L464" i="20"/>
  <c r="I463" i="20"/>
  <c r="L463" i="20" s="1"/>
  <c r="L392" i="20" l="1"/>
  <c r="I391" i="20"/>
  <c r="L391" i="20" l="1"/>
  <c r="I389" i="20"/>
  <c r="I563" i="20" l="1"/>
  <c r="I564" i="20"/>
  <c r="L564" i="20" s="1"/>
  <c r="I761" i="20"/>
  <c r="L761" i="20" s="1"/>
  <c r="I591" i="20"/>
  <c r="L389" i="20"/>
  <c r="I740" i="20"/>
  <c r="I754" i="20"/>
  <c r="I590" i="20"/>
  <c r="I584" i="20" s="1"/>
  <c r="I677" i="20" s="1"/>
  <c r="I736" i="20"/>
  <c r="I742" i="20" s="1"/>
  <c r="I739" i="20"/>
  <c r="I589" i="20"/>
  <c r="I582" i="20" s="1"/>
  <c r="I588" i="20"/>
  <c r="I540" i="20"/>
  <c r="I539" i="20"/>
  <c r="I542" i="20"/>
  <c r="I735" i="20"/>
  <c r="I728" i="20"/>
  <c r="I593" i="20"/>
  <c r="I592" i="20"/>
  <c r="I541" i="20"/>
  <c r="I734" i="20"/>
  <c r="I538" i="20"/>
  <c r="I581" i="20" l="1"/>
  <c r="I676" i="20"/>
  <c r="I681" i="20" s="1"/>
  <c r="I682" i="20" s="1"/>
  <c r="I731" i="20"/>
  <c r="I730" i="20"/>
  <c r="I732" i="20"/>
  <c r="I738" i="20"/>
  <c r="I741" i="20"/>
  <c r="I565" i="20"/>
  <c r="L563" i="20"/>
  <c r="I567" i="20" l="1"/>
  <c r="I558" i="20"/>
  <c r="I755" i="20" s="1"/>
  <c r="I651" i="20"/>
  <c r="I674" i="20"/>
  <c r="I675" i="20"/>
  <c r="I701" i="20"/>
  <c r="I689" i="20" l="1"/>
  <c r="I688" i="20"/>
  <c r="I233" i="20" s="1"/>
  <c r="L233" i="20" l="1"/>
  <c r="I234" i="20"/>
  <c r="I673" i="20"/>
  <c r="I699" i="20" l="1"/>
  <c r="I691" i="20" s="1"/>
  <c r="I660" i="20"/>
  <c r="I652" i="20" s="1"/>
  <c r="I671" i="20"/>
  <c r="I663" i="20" s="1"/>
  <c r="I704" i="20" l="1"/>
  <c r="I702" i="20"/>
  <c r="L701" i="20" l="1"/>
  <c r="D849" i="20" s="1"/>
  <c r="D22" i="1" s="1"/>
  <c r="D35" i="1" s="1"/>
  <c r="B35" i="1" s="1"/>
  <c r="L702" i="20"/>
  <c r="L704" i="20"/>
  <c r="L703" i="20"/>
</calcChain>
</file>

<file path=xl/sharedStrings.xml><?xml version="1.0" encoding="utf-8"?>
<sst xmlns="http://schemas.openxmlformats.org/spreadsheetml/2006/main" count="3316" uniqueCount="1794">
  <si>
    <t>XXXXXX</t>
  </si>
  <si>
    <t>Guarantees</t>
  </si>
  <si>
    <t>Total exposures</t>
  </si>
  <si>
    <t>On-balance sheet items</t>
  </si>
  <si>
    <t>Off-balance sheet items</t>
  </si>
  <si>
    <t>0%</t>
  </si>
  <si>
    <t>(in thousands of CHF)</t>
  </si>
  <si>
    <t>factors</t>
  </si>
  <si>
    <t>Original exposure</t>
  </si>
  <si>
    <t>pre conversion</t>
  </si>
  <si>
    <t>due to CRM</t>
  </si>
  <si>
    <t>Substitution of the exposure</t>
  </si>
  <si>
    <t>protection</t>
  </si>
  <si>
    <t>Capital</t>
  </si>
  <si>
    <t>requirements</t>
  </si>
  <si>
    <t xml:space="preserve">Value </t>
  </si>
  <si>
    <t>adjustments</t>
  </si>
  <si>
    <t>and provisions</t>
  </si>
  <si>
    <t>associated with</t>
  </si>
  <si>
    <t>Exposure net</t>
  </si>
  <si>
    <t>of value adjust-</t>
  </si>
  <si>
    <t xml:space="preserve">ments and </t>
  </si>
  <si>
    <t>provisions</t>
  </si>
  <si>
    <t>(col. 01+02)</t>
  </si>
  <si>
    <t>ments and</t>
  </si>
  <si>
    <t xml:space="preserve">provisions, post </t>
  </si>
  <si>
    <t>Credit risk mitigation (CRM) techniques with substitution effects on the exposure</t>
  </si>
  <si>
    <t>Unfunded credit protection:</t>
  </si>
  <si>
    <r>
      <t>adjusted values (G</t>
    </r>
    <r>
      <rPr>
        <sz val="10"/>
        <rFont val="Arial"/>
        <family val="2"/>
      </rPr>
      <t>a</t>
    </r>
    <r>
      <rPr>
        <sz val="10"/>
        <rFont val="Arial"/>
        <family val="2"/>
      </rPr>
      <t>, P</t>
    </r>
    <r>
      <rPr>
        <sz val="10"/>
        <rFont val="Arial"/>
        <family val="2"/>
      </rPr>
      <t>a</t>
    </r>
    <r>
      <rPr>
        <sz val="10"/>
        <rFont val="Arial"/>
        <family val="2"/>
      </rPr>
      <t>)</t>
    </r>
  </si>
  <si>
    <t>Credit derivatives</t>
  </si>
  <si>
    <t>Funded credit</t>
  </si>
  <si>
    <t>Financial
collateral:
simple method</t>
  </si>
  <si>
    <t>Total inflows
(+)</t>
  </si>
  <si>
    <t>Net exposure</t>
  </si>
  <si>
    <t>after CRM</t>
  </si>
  <si>
    <t>substitution</t>
  </si>
  <si>
    <t>effects</t>
  </si>
  <si>
    <t>Credit risk miti-</t>
  </si>
  <si>
    <t>gation techniques</t>
  </si>
  <si>
    <t xml:space="preserve">affecting the </t>
  </si>
  <si>
    <t xml:space="preserve">amount of the </t>
  </si>
  <si>
    <t>exposure: funded
credit protection.
Net effects of the 
comprehensive
method</t>
  </si>
  <si>
    <t>Fully adjusted</t>
  </si>
  <si>
    <t>exposure value</t>
  </si>
  <si>
    <t>Risk weighted</t>
  </si>
  <si>
    <t>exposure amount</t>
  </si>
  <si>
    <t xml:space="preserve">Credit, counterparty credit and delivery risks: </t>
  </si>
  <si>
    <t>Breakdown of total 
exposures by risk weights</t>
  </si>
  <si>
    <t>50%, of which</t>
  </si>
  <si>
    <t xml:space="preserve">        secured by real estate</t>
  </si>
  <si>
    <t xml:space="preserve">        without credit assessment </t>
  </si>
  <si>
    <t>100%, of which</t>
  </si>
  <si>
    <t xml:space="preserve">        past due</t>
  </si>
  <si>
    <t>150%, of which</t>
  </si>
  <si>
    <t>BIS-Standardised approach to capital requirements</t>
  </si>
  <si>
    <t xml:space="preserve">Breakdown of the exposure of contingent liabilities and irrevocable </t>
  </si>
  <si>
    <t>loan commitments (off-balance sheet items) by conversion factors</t>
  </si>
  <si>
    <t>(col. 08+12+13)</t>
  </si>
  <si>
    <t>(without 
multiplicators)</t>
  </si>
  <si>
    <t>20%, of which</t>
  </si>
  <si>
    <t>application of credit
conversion factors
on off-balance
sheet items</t>
  </si>
  <si>
    <t>Form</t>
  </si>
  <si>
    <t>Label</t>
  </si>
  <si>
    <t>1.1.1.1</t>
  </si>
  <si>
    <t>1.1.1.3</t>
  </si>
  <si>
    <t>1.3</t>
  </si>
  <si>
    <t>1.3.1</t>
  </si>
  <si>
    <t>Memorandum items</t>
  </si>
  <si>
    <t>2.1.1.1</t>
  </si>
  <si>
    <t>2.1.1.1.0.1</t>
  </si>
  <si>
    <t>2.1.1.1.0.2</t>
  </si>
  <si>
    <t>2.1.1.1.0.4</t>
  </si>
  <si>
    <t>2.1.1.1.2</t>
  </si>
  <si>
    <t>2.3.1</t>
  </si>
  <si>
    <t>2.3.1.1</t>
  </si>
  <si>
    <t>2.3.1.1.1</t>
  </si>
  <si>
    <t>2.3.1.1.2</t>
  </si>
  <si>
    <t>2.3.1.2</t>
  </si>
  <si>
    <t>2.3.1.2.1</t>
  </si>
  <si>
    <t>2.3.1.2.2</t>
  </si>
  <si>
    <t>2.3.1.3</t>
  </si>
  <si>
    <t>2.3.1.4</t>
  </si>
  <si>
    <t>2.3.1.5</t>
  </si>
  <si>
    <t>2.3.1.6</t>
  </si>
  <si>
    <t>2.3.1.6.1</t>
  </si>
  <si>
    <t>2.3.1.6.2</t>
  </si>
  <si>
    <t>2.3.1.6.3</t>
  </si>
  <si>
    <t>2.3.2</t>
  </si>
  <si>
    <t>2.4.1</t>
  </si>
  <si>
    <t>2.4.2</t>
  </si>
  <si>
    <t>2.4.3</t>
  </si>
  <si>
    <t>Convention on signs: Any amount that increases the own funds or the capital requirements will be reported as a positive figure. On the contrary,</t>
  </si>
  <si>
    <t>any amount that reduces the total own funds or the capital requirements will be reported as a negative figure. Where there is a negative sign (–)</t>
  </si>
  <si>
    <t>preceding the label of an item no positive figure is expected to be reported for that item.</t>
  </si>
  <si>
    <t>$fid</t>
  </si>
  <si>
    <t>col. 01</t>
  </si>
  <si>
    <t>col. 02</t>
  </si>
  <si>
    <t>col. 03</t>
  </si>
  <si>
    <t>col. 04</t>
  </si>
  <si>
    <t>col. 05</t>
  </si>
  <si>
    <t>col. 06</t>
  </si>
  <si>
    <t>col. 07</t>
  </si>
  <si>
    <t>col. 08</t>
  </si>
  <si>
    <t>col. 09</t>
  </si>
  <si>
    <t>col. 10</t>
  </si>
  <si>
    <t>col. 11</t>
  </si>
  <si>
    <t>col. 12</t>
  </si>
  <si>
    <t>col. 13</t>
  </si>
  <si>
    <t>col. 14</t>
  </si>
  <si>
    <t>col. 15</t>
  </si>
  <si>
    <t>col. 16</t>
  </si>
  <si>
    <t>col. 17</t>
  </si>
  <si>
    <t>col. 18</t>
  </si>
  <si>
    <t>col. 12 &lt;= 0</t>
  </si>
  <si>
    <t>col. 13 &gt;= 0</t>
  </si>
  <si>
    <t>col. 15 &lt;= 0</t>
  </si>
  <si>
    <t>Breakdown of total exposures by 
exposures types</t>
  </si>
  <si>
    <t>col.14 &gt;= 0</t>
  </si>
  <si>
    <t>col. 16 to col. 18 &gt;= 0</t>
  </si>
  <si>
    <t>(col. 14+15)</t>
  </si>
  <si>
    <t>Plausibility Checks</t>
  </si>
  <si>
    <t>Number of Errors:</t>
  </si>
  <si>
    <t>Form(Row[s] / Columns[n])</t>
  </si>
  <si>
    <t>Total Differences</t>
  </si>
  <si>
    <t>Total Tolerances</t>
  </si>
  <si>
    <t>Pos.1</t>
  </si>
  <si>
    <t>=</t>
  </si>
  <si>
    <t>Pos. 2</t>
  </si>
  <si>
    <t>-&gt;</t>
  </si>
  <si>
    <t>Differences</t>
  </si>
  <si>
    <t>Tolerances</t>
  </si>
  <si>
    <t>col. 01 &gt;= 0</t>
  </si>
  <si>
    <t>col. 02 &lt;= 0</t>
  </si>
  <si>
    <t>col. 03 to col. 11 &gt;= 0</t>
  </si>
  <si>
    <t>Sovereigns</t>
  </si>
  <si>
    <t>Corporates</t>
  </si>
  <si>
    <t>Retail</t>
  </si>
  <si>
    <t>Equity</t>
  </si>
  <si>
    <t>Other exposures</t>
  </si>
  <si>
    <t>Institutions - Banks and Securities Dealers</t>
  </si>
  <si>
    <t>Institutions - Other Institutions</t>
  </si>
  <si>
    <t>Swiss National Bank</t>
  </si>
  <si>
    <t>Swiss Financial Market Supervisory Authority FINMA</t>
  </si>
  <si>
    <t>Survey</t>
  </si>
  <si>
    <t>Forms</t>
  </si>
  <si>
    <t>P.O. Box</t>
  </si>
  <si>
    <t>Subject:</t>
  </si>
  <si>
    <t>www.finma.ch</t>
  </si>
  <si>
    <t>CH-3003 Bern</t>
  </si>
  <si>
    <t>Tel: +41 31 327 91 00</t>
  </si>
  <si>
    <r>
      <rPr>
        <b/>
        <sz val="10"/>
        <color indexed="8"/>
        <rFont val="Arial"/>
        <family val="2"/>
      </rPr>
      <t>Comments:</t>
    </r>
    <r>
      <rPr>
        <sz val="10"/>
        <color theme="1"/>
        <rFont val="Arial"/>
        <family val="2"/>
      </rPr>
      <t xml:space="preserve"> Please use a separate document for your </t>
    </r>
    <r>
      <rPr>
        <sz val="10"/>
        <color indexed="8"/>
        <rFont val="Arial"/>
        <family val="2"/>
      </rPr>
      <t>comments to this delivery</t>
    </r>
    <r>
      <rPr>
        <b/>
        <sz val="10"/>
        <color indexed="8"/>
        <rFont val="Arial"/>
        <family val="2"/>
      </rPr>
      <t xml:space="preserve"> </t>
    </r>
    <r>
      <rPr>
        <sz val="10"/>
        <color theme="1"/>
        <rFont val="Arial"/>
        <family val="2"/>
      </rPr>
      <t>and include</t>
    </r>
  </si>
  <si>
    <t>8022 Zurich</t>
  </si>
  <si>
    <t>Validation</t>
  </si>
  <si>
    <t>Errors</t>
  </si>
  <si>
    <t>Amount (1)</t>
  </si>
  <si>
    <t>Address</t>
  </si>
  <si>
    <t>E-mail</t>
  </si>
  <si>
    <t>$eod</t>
  </si>
  <si>
    <t>Ordering survey documents:</t>
  </si>
  <si>
    <t>Questions on surveys:</t>
  </si>
  <si>
    <t>the original 
exposure
(–)</t>
  </si>
  <si>
    <t>Total outflows
(–)</t>
  </si>
  <si>
    <t>mutlplications)</t>
  </si>
  <si>
    <t>Market risk</t>
  </si>
  <si>
    <t>Position</t>
  </si>
  <si>
    <t>Requirement 
factor</t>
  </si>
  <si>
    <t>Amount</t>
  </si>
  <si>
    <t>r01 col.01 to r75 col.03 &gt;= 0</t>
  </si>
  <si>
    <t>Minimum requirements for market risks according to the standardised approach</t>
  </si>
  <si>
    <t>Market risk of currencies, gold and commodities</t>
  </si>
  <si>
    <t>Currencies (1)</t>
  </si>
  <si>
    <t>Gold (net position)</t>
  </si>
  <si>
    <t>Commodities according to the maturity ladder approach</t>
  </si>
  <si>
    <t>Commodities according to the simplified approach</t>
  </si>
  <si>
    <t>Total</t>
  </si>
  <si>
    <t>De-minimis test</t>
  </si>
  <si>
    <t>The subsequent sections on the standardised approach need only to be filled in</t>
  </si>
  <si>
    <t>if during the relevant period the trading book exceeded at least once either CHF 30 millions or 6% of</t>
  </si>
  <si>
    <t>the sum of all balance sheet and off-balance sheet positions according to position 08.</t>
  </si>
  <si>
    <t>Total of last quarter’s balance sheet</t>
  </si>
  <si>
    <t>Total of balance and off-balance sheet</t>
  </si>
  <si>
    <t>Trading book in % of the total of balance and off-balance sheet</t>
  </si>
  <si>
    <t>Specific risk</t>
  </si>
  <si>
    <t>of interest rate instruments</t>
  </si>
  <si>
    <t>Non-Securitisation Positions</t>
  </si>
  <si>
    <t>Government and central bank interest rate instruments</t>
  </si>
  <si>
    <t>Rating class 1 or 2</t>
  </si>
  <si>
    <t>0.000</t>
  </si>
  <si>
    <t>Rating class 3 or 4</t>
  </si>
  <si>
    <t>Residual term to final maturity ≤ 6 months</t>
  </si>
  <si>
    <t>Residual term to final maturity &gt; 6 months and ≤ 24 months</t>
  </si>
  <si>
    <t>Residual term to final maturity &gt; 24 months</t>
  </si>
  <si>
    <t>Rating class 5 or 6</t>
  </si>
  <si>
    <t>Rating class 7</t>
  </si>
  <si>
    <t>Unrated</t>
  </si>
  <si>
    <t>Other interest rate instruments</t>
  </si>
  <si>
    <t>Rating class 5</t>
  </si>
  <si>
    <t>Rating class 6 or 7</t>
  </si>
  <si>
    <t>Securitisation Positions</t>
  </si>
  <si>
    <t>Non Correlation Trading</t>
  </si>
  <si>
    <t xml:space="preserve">    for net long exposures</t>
  </si>
  <si>
    <t>Correlation Trading</t>
  </si>
  <si>
    <t xml:space="preserve">    for net short exposures</t>
  </si>
  <si>
    <t>General market risk</t>
  </si>
  <si>
    <t>Value according to the maturity method</t>
  </si>
  <si>
    <t>Value according to the duration method</t>
  </si>
  <si>
    <t>of equity</t>
  </si>
  <si>
    <t>Sum of the net positions by issuer</t>
  </si>
  <si>
    <t>Sum of the net positions by national market</t>
  </si>
  <si>
    <t>Requirements for options</t>
  </si>
  <si>
    <t>according to the simplified approach</t>
  </si>
  <si>
    <t>Options on interest rate instruments</t>
  </si>
  <si>
    <t>Options on stocks or stock indices</t>
  </si>
  <si>
    <t>Options on currencies</t>
  </si>
  <si>
    <t>Options on gold</t>
  </si>
  <si>
    <t>Options on commodities</t>
  </si>
  <si>
    <t>Additional requirements for options</t>
  </si>
  <si>
    <t>according to the delta-plus method (3)</t>
  </si>
  <si>
    <t>Gamma risk</t>
  </si>
  <si>
    <t>Vega risk</t>
  </si>
  <si>
    <t>according to the scenario analysis approach</t>
  </si>
  <si>
    <t>Requirements for market risks according</t>
  </si>
  <si>
    <t>to the model-based approach</t>
  </si>
  <si>
    <t>Average VaR</t>
  </si>
  <si>
    <t>Interest rate risks</t>
  </si>
  <si>
    <t>Equity risks (4)</t>
  </si>
  <si>
    <t>Foreign exchange risks</t>
  </si>
  <si>
    <t>Precious metal and commodity risks</t>
  </si>
  <si>
    <t>Total value-at-risk</t>
  </si>
  <si>
    <t>Requirements taking the institution’s multiplication factor into account</t>
  </si>
  <si>
    <t>Previous day’s VaR</t>
  </si>
  <si>
    <t>Stress based VaR</t>
  </si>
  <si>
    <t>Total average stress based VaR taking the institution's multiplication factor into account</t>
  </si>
  <si>
    <t>Total actual stress based VaR</t>
  </si>
  <si>
    <t>IRC</t>
  </si>
  <si>
    <t>Average IRC</t>
  </si>
  <si>
    <t>Actual IRC</t>
  </si>
  <si>
    <t>CRM</t>
  </si>
  <si>
    <t>Average CRM</t>
  </si>
  <si>
    <t>Actual CRM</t>
  </si>
  <si>
    <t>8% of the standardized specific risk charge</t>
  </si>
  <si>
    <t xml:space="preserve">    8% of the net long exposures</t>
  </si>
  <si>
    <t>Total requirements according to the model-based approach</t>
  </si>
  <si>
    <t xml:space="preserve">(1) </t>
  </si>
  <si>
    <t>Relevant is the larger of the absolute values of (i) the sum of the net long positions on the one hand and (ii) the sum of the net short positions on the other hand.</t>
  </si>
  <si>
    <t xml:space="preserve">(2) </t>
  </si>
  <si>
    <t>Sum of the absolute market values of all long and short positions (by issuer) in the underlying instruments plus the (delta-weighted) contract volumes of all derivative</t>
  </si>
  <si>
    <t>financial instruments in the trading book.</t>
  </si>
  <si>
    <t xml:space="preserve">(3) </t>
  </si>
  <si>
    <t>The delta-equivalents are included in the previous sections on market risk of currencies, gold and commodities, specific risk and general market risk (rows 01 to 33).</t>
  </si>
  <si>
    <t>or stock indices (applies to rows 40, 41, 46, 47).</t>
  </si>
  <si>
    <t xml:space="preserve">(4) </t>
  </si>
  <si>
    <t>Including event risks according to margin no. 282 of the Market Risks Circular - banks.</t>
  </si>
  <si>
    <t>Contingent liabilities, irrevocable credit lines granted, contingent liabilities for calls and margin liabilities,
commitment credits and the contract volume of all open derivative financial instruments</t>
  </si>
  <si>
    <t xml:space="preserve">    8% of the net short exposures</t>
  </si>
  <si>
    <t>2.1.2.1.1</t>
  </si>
  <si>
    <t>2.1.2.1.2</t>
  </si>
  <si>
    <t>2.1.2.1.2.1</t>
  </si>
  <si>
    <t>2.1.2.1.2.2</t>
  </si>
  <si>
    <t>2.1.2.1.3</t>
  </si>
  <si>
    <t>2.1.2.1.3.1</t>
  </si>
  <si>
    <t>2.1.2.1.3.2</t>
  </si>
  <si>
    <t>2.1.2.2.1</t>
  </si>
  <si>
    <t>2.1.2.2.2</t>
  </si>
  <si>
    <t>2.1.2.2.2.1</t>
  </si>
  <si>
    <t>2.1.2.2.2.2</t>
  </si>
  <si>
    <t>2.1.2.2.3</t>
  </si>
  <si>
    <t>2.1.2.2.3.1</t>
  </si>
  <si>
    <t>2.1.2.2.3.2</t>
  </si>
  <si>
    <t>2.1.2.2.4</t>
  </si>
  <si>
    <t>2.1.2.2.4.1</t>
  </si>
  <si>
    <t>2.1.2.2.4.2</t>
  </si>
  <si>
    <t>2.1.2.2.4.3</t>
  </si>
  <si>
    <t>2.1.2.3</t>
  </si>
  <si>
    <t>2.1.2.3.1</t>
  </si>
  <si>
    <t>2.2.1</t>
  </si>
  <si>
    <t>(the sum of the higher amounts of following rows: 66 and 74, 83 and 84, 85 and 86, 87 and 88 and 95)</t>
  </si>
  <si>
    <t>De-minimis institutions do not have to determine capital requirements for the gamma and the vega risk of options on interest rate instruments and of options on stocks</t>
  </si>
  <si>
    <t>1.1.1.6</t>
  </si>
  <si>
    <t>1.1.1.7</t>
  </si>
  <si>
    <t>1.1.1.8</t>
  </si>
  <si>
    <t>1.1.1.9</t>
  </si>
  <si>
    <t>1.1.2.4</t>
  </si>
  <si>
    <t>1.1.2.10</t>
  </si>
  <si>
    <t>1.3.1.1</t>
  </si>
  <si>
    <t>1.3.1.2</t>
  </si>
  <si>
    <t>1.3.4.1</t>
  </si>
  <si>
    <t>1.3.4.2</t>
  </si>
  <si>
    <t>1.3.4.3</t>
  </si>
  <si>
    <t>1.3.4.4</t>
  </si>
  <si>
    <t>1.3.4.5</t>
  </si>
  <si>
    <t>1.3.4.6</t>
  </si>
  <si>
    <t>Property</t>
  </si>
  <si>
    <t>2.3.1.5.1</t>
  </si>
  <si>
    <t>2.3.1.5.2</t>
  </si>
  <si>
    <t>OpR using the basic indicator approach (BIA)</t>
  </si>
  <si>
    <t>OpR using the standardised approach (SA)</t>
  </si>
  <si>
    <t>OpR using advanced measurement approaches (AMA)</t>
  </si>
  <si>
    <t>Capital ratios</t>
  </si>
  <si>
    <t>Internal assessment surplus (+) / deficit (–) of capital
(art. 45 Capital Ordinance)</t>
  </si>
  <si>
    <t>5</t>
  </si>
  <si>
    <t>Other memorandum items</t>
  </si>
  <si>
    <t>5.1.1</t>
  </si>
  <si>
    <t>5.1.1.1</t>
  </si>
  <si>
    <t>5.1.1.2</t>
  </si>
  <si>
    <t>5.1.1.3</t>
  </si>
  <si>
    <t>5.1.2</t>
  </si>
  <si>
    <t>5.1.3</t>
  </si>
  <si>
    <t>5.1.4</t>
  </si>
  <si>
    <t>5.3</t>
  </si>
  <si>
    <t>Amounts below thresholds</t>
  </si>
  <si>
    <t xml:space="preserve">   Final adjustments</t>
  </si>
  <si>
    <t>1.1.1.34</t>
  </si>
  <si>
    <t>2.1.4.1</t>
  </si>
  <si>
    <t>2.1.4.2</t>
  </si>
  <si>
    <t>2.1.6.1</t>
  </si>
  <si>
    <t>2.1.6.2</t>
  </si>
  <si>
    <t>2.1.6.3</t>
  </si>
  <si>
    <t>Total eligible capital
(arts. 21-40 Capital Ordinance)</t>
  </si>
  <si>
    <t xml:space="preserve">   = Equity after first preliminary adjustments, without minority interests</t>
  </si>
  <si>
    <t xml:space="preserve">      Investment shares in cooperative entities</t>
  </si>
  <si>
    <t xml:space="preserve">   = Equity after second preliminary adjustments</t>
  </si>
  <si>
    <t xml:space="preserve">   = Equity after general adjustments</t>
  </si>
  <si>
    <t xml:space="preserve">   = Net CET1 capital</t>
  </si>
  <si>
    <t xml:space="preserve">      Of which:</t>
  </si>
  <si>
    <t xml:space="preserve">   Of which:</t>
  </si>
  <si>
    <t>Of which:</t>
  </si>
  <si>
    <t>Transitional recognition of CET1 capital instruments</t>
  </si>
  <si>
    <t xml:space="preserve">      Institutions</t>
  </si>
  <si>
    <r>
      <t xml:space="preserve">      Sovereigns </t>
    </r>
    <r>
      <rPr>
        <b/>
        <sz val="10"/>
        <rFont val="Arial"/>
        <family val="2"/>
      </rPr>
      <t>(before IRB scaling factor)</t>
    </r>
  </si>
  <si>
    <r>
      <t xml:space="preserve">      Institutions </t>
    </r>
    <r>
      <rPr>
        <b/>
        <sz val="10"/>
        <rFont val="Arial"/>
        <family val="2"/>
      </rPr>
      <t>(before IRB scaling factor)</t>
    </r>
  </si>
  <si>
    <r>
      <t xml:space="preserve">         Banks and securities dealers </t>
    </r>
    <r>
      <rPr>
        <b/>
        <sz val="10"/>
        <rFont val="Arial"/>
        <family val="2"/>
      </rPr>
      <t>(before IRB scaling factor)</t>
    </r>
  </si>
  <si>
    <r>
      <t xml:space="preserve">         Other institutions </t>
    </r>
    <r>
      <rPr>
        <b/>
        <sz val="10"/>
        <rFont val="Arial"/>
        <family val="2"/>
      </rPr>
      <t>(before IRB scaling factor)</t>
    </r>
  </si>
  <si>
    <r>
      <t xml:space="preserve">      Corporates </t>
    </r>
    <r>
      <rPr>
        <b/>
        <sz val="10"/>
        <rFont val="Arial"/>
        <family val="2"/>
      </rPr>
      <t>(before IRB scaling factor)</t>
    </r>
  </si>
  <si>
    <r>
      <t xml:space="preserve">         Corporates: specialised lending </t>
    </r>
    <r>
      <rPr>
        <b/>
        <sz val="10"/>
        <rFont val="Arial"/>
        <family val="2"/>
      </rPr>
      <t>(before IRB scaling factor)</t>
    </r>
  </si>
  <si>
    <r>
      <t xml:space="preserve">         Corporates without specialised lending </t>
    </r>
    <r>
      <rPr>
        <b/>
        <sz val="10"/>
        <rFont val="Arial"/>
        <family val="2"/>
      </rPr>
      <t>(before IRB scaling factor)</t>
    </r>
  </si>
  <si>
    <r>
      <t xml:space="preserve">      Central governments and central banks </t>
    </r>
    <r>
      <rPr>
        <b/>
        <sz val="10"/>
        <rFont val="Arial"/>
        <family val="2"/>
      </rPr>
      <t>(before IRB scaling factor)</t>
    </r>
  </si>
  <si>
    <r>
      <t xml:space="preserve">      Retail </t>
    </r>
    <r>
      <rPr>
        <b/>
        <sz val="10"/>
        <rFont val="Arial"/>
        <family val="2"/>
      </rPr>
      <t>(before IRB scaling factor)</t>
    </r>
  </si>
  <si>
    <r>
      <t xml:space="preserve">         Retail exposures, secured by real estate </t>
    </r>
    <r>
      <rPr>
        <b/>
        <sz val="10"/>
        <rFont val="Arial"/>
        <family val="2"/>
      </rPr>
      <t>(before IRB scaling factor)</t>
    </r>
  </si>
  <si>
    <r>
      <t xml:space="preserve">         Retail exposures, qualifying revolving </t>
    </r>
    <r>
      <rPr>
        <b/>
        <sz val="10"/>
        <rFont val="Arial"/>
        <family val="2"/>
      </rPr>
      <t>(before IRB scaling factor)</t>
    </r>
  </si>
  <si>
    <r>
      <t xml:space="preserve">         Other retail exposures </t>
    </r>
    <r>
      <rPr>
        <b/>
        <sz val="10"/>
        <rFont val="Arial"/>
        <family val="2"/>
      </rPr>
      <t>(before IRB scaling factor)</t>
    </r>
  </si>
  <si>
    <t xml:space="preserve">   Qualifying CCPs</t>
  </si>
  <si>
    <t xml:space="preserve">   Simplified approach</t>
  </si>
  <si>
    <t xml:space="preserve">   Advanced approach</t>
  </si>
  <si>
    <t xml:space="preserve">   Interest rate instruments held in the trading book</t>
  </si>
  <si>
    <t xml:space="preserve">   Equities held in the trading book</t>
  </si>
  <si>
    <t xml:space="preserve">      Specific risk of equity held in the trading book</t>
  </si>
  <si>
    <t xml:space="preserve">      General market risk of equity held in the trading book</t>
  </si>
  <si>
    <t xml:space="preserve">   Currencies</t>
  </si>
  <si>
    <t xml:space="preserve">   Gold</t>
  </si>
  <si>
    <t xml:space="preserve">   Commodities</t>
  </si>
  <si>
    <t xml:space="preserve">      According to the maturity ladder approach</t>
  </si>
  <si>
    <t xml:space="preserve">      According to the simplified approach</t>
  </si>
  <si>
    <t xml:space="preserve">   Options</t>
  </si>
  <si>
    <t xml:space="preserve">      Options according to the simplified approach</t>
  </si>
  <si>
    <t xml:space="preserve">      Options according to the delta plus method</t>
  </si>
  <si>
    <t xml:space="preserve">      Options using scenario analysis approach</t>
  </si>
  <si>
    <t>For the VaR</t>
  </si>
  <si>
    <t>For the stressed VaR</t>
  </si>
  <si>
    <t xml:space="preserve">   CET1 instruments</t>
  </si>
  <si>
    <t xml:space="preserve">   AT1 instruments</t>
  </si>
  <si>
    <t xml:space="preserve">   T2 instruments</t>
  </si>
  <si>
    <t xml:space="preserve">   (–) All minority interests</t>
  </si>
  <si>
    <t xml:space="preserve">         (–) Positive valuation differences in investment properties</t>
  </si>
  <si>
    <t xml:space="preserve">         (–) Positive valuation differences in other fixed assets</t>
  </si>
  <si>
    <t xml:space="preserve">         (–) Other positive valuation differences affecting the reserves and results</t>
  </si>
  <si>
    <t xml:space="preserve">   (–) Other qualifying holdings in financial sector, gross amount to deduct from CET1, according to threshold 2 
   (art. 38 Capital Ordinance)</t>
  </si>
  <si>
    <t xml:space="preserve">   (–) Mortgage servicing rights, gross amount to deduct from CET1, according to threshold 2
   (art. 39 Capital Ordinance)</t>
  </si>
  <si>
    <t xml:space="preserve">   (–) Other deferred tax assets, gross amount to deduct from CET1, according to threshold 2 
   (art. 39 Capital Ordinance)</t>
  </si>
  <si>
    <t xml:space="preserve">   (+/–) Impact of changes in the scope of consolidation
   (art. 7 Capital Ordinance)</t>
  </si>
  <si>
    <t>Eligible adjusted Tier 1 capital
(arts. 21-29 Capital Ordinance, arts. 31-40 Capital Ordinance)</t>
  </si>
  <si>
    <t xml:space="preserve">      (+) Deferred tax liabilities associated with the goodwill, gross amount</t>
  </si>
  <si>
    <t xml:space="preserve">      (+) Defined benefit pension fund assets which the bank may use without restriction</t>
  </si>
  <si>
    <t xml:space="preserve">1
  </t>
  </si>
  <si>
    <t xml:space="preserve">1.1
   </t>
  </si>
  <si>
    <t xml:space="preserve">1.1.1
  </t>
  </si>
  <si>
    <t xml:space="preserve">1.1.1.2
  </t>
  </si>
  <si>
    <t xml:space="preserve">1.1.1.5
  </t>
  </si>
  <si>
    <t xml:space="preserve">1.1.1.8.1
  </t>
  </si>
  <si>
    <t xml:space="preserve">1.1.1.8.2
  </t>
  </si>
  <si>
    <t xml:space="preserve">1.1.1.8.3
  </t>
  </si>
  <si>
    <t xml:space="preserve">1.1.1.8.5
  </t>
  </si>
  <si>
    <t xml:space="preserve">1.1.1.8.6
  </t>
  </si>
  <si>
    <t xml:space="preserve">1.1.1.9.1
  </t>
  </si>
  <si>
    <t xml:space="preserve">1.1.1.10.1
  </t>
  </si>
  <si>
    <t xml:space="preserve">1.1.1.17
  </t>
  </si>
  <si>
    <t xml:space="preserve">1.1.1.22
  </t>
  </si>
  <si>
    <t xml:space="preserve">1.1.2.11.2
  </t>
  </si>
  <si>
    <t xml:space="preserve">1.1.2.11.3
  </t>
  </si>
  <si>
    <t xml:space="preserve">1.1.2.11.4
  </t>
  </si>
  <si>
    <t xml:space="preserve">1.1.2.11.5
  </t>
  </si>
  <si>
    <t xml:space="preserve">1.1.2.11.6
  </t>
  </si>
  <si>
    <t xml:space="preserve">2
 </t>
  </si>
  <si>
    <t xml:space="preserve">2.1.1.1.1
 </t>
  </si>
  <si>
    <t xml:space="preserve">2.1.1.1.2.1
 </t>
  </si>
  <si>
    <t xml:space="preserve">2.1.1.1.2.2
 </t>
  </si>
  <si>
    <t xml:space="preserve">2.1.1.1.3
 </t>
  </si>
  <si>
    <t xml:space="preserve">2.1.1.1.4
 </t>
  </si>
  <si>
    <t xml:space="preserve">2.1.1.1.5
 </t>
  </si>
  <si>
    <t xml:space="preserve">2.1.1.1.6
 </t>
  </si>
  <si>
    <t xml:space="preserve">2.1.2.2.0.1
 </t>
  </si>
  <si>
    <t xml:space="preserve">2.1.3
 </t>
  </si>
  <si>
    <t xml:space="preserve">2.1.5
 </t>
  </si>
  <si>
    <t xml:space="preserve">2.2
 </t>
  </si>
  <si>
    <t xml:space="preserve">2.4 
 </t>
  </si>
  <si>
    <t xml:space="preserve">   Standardised approach</t>
  </si>
  <si>
    <t xml:space="preserve">2.1.2.1.0.1
</t>
  </si>
  <si>
    <t xml:space="preserve">2.3 
</t>
  </si>
  <si>
    <t xml:space="preserve">2.1.6
</t>
  </si>
  <si>
    <t xml:space="preserve">2.1.4
</t>
  </si>
  <si>
    <t>Interest rate instruments, equities, currency, gold and commodity risk under the standardised approach to market risk</t>
  </si>
  <si>
    <t>Interest rate instruments, equities, currency, gold and commodity risk under the model approach to market risk</t>
  </si>
  <si>
    <t xml:space="preserve">2.5
</t>
  </si>
  <si>
    <t>Internal assessment of capital</t>
  </si>
  <si>
    <t>Internal assessment of capital needs</t>
  </si>
  <si>
    <t>5.1</t>
  </si>
  <si>
    <t>Non-qualifying investments in the common stocks of other financial entities (threshold 1)</t>
  </si>
  <si>
    <t>Qualifying investments in the common stocks of other financial entities (CET1) (thresholds 2 and 3)</t>
  </si>
  <si>
    <t>Mortgage servicing rights (net of related tax liabilities) (thresholds 2 and 3)</t>
  </si>
  <si>
    <t>Deferred tax assets arising from temporary differences (net of related tax liabilities) (thresholds 2 and 3)</t>
  </si>
  <si>
    <t xml:space="preserve">   Non-qualifying CCPs</t>
  </si>
  <si>
    <t xml:space="preserve">   Second preliminary adjustments</t>
  </si>
  <si>
    <t>Total minimum capital requirements
(art. 42 Capital Ordinance)</t>
  </si>
  <si>
    <t>Minimum capital requirements for credit risk under the SA-BIS and the IRB and for other credit risk items
(arts. 48-77 Capital Ordinance)</t>
  </si>
  <si>
    <t xml:space="preserve">2.1
 </t>
  </si>
  <si>
    <t xml:space="preserve">2.1.1  </t>
  </si>
  <si>
    <t>Minimum capital requirements for credit risk under the IRB 
(art. 77 Capital Ordinance)</t>
  </si>
  <si>
    <t xml:space="preserve">2.1.2
 </t>
  </si>
  <si>
    <t xml:space="preserve">2.1.2.1 </t>
  </si>
  <si>
    <t xml:space="preserve">   Subtotal of the minimum capital requirements for exposure classes under the F-IRB (Foundation IRB) (without securitisation exposures) </t>
  </si>
  <si>
    <r>
      <t xml:space="preserve">         Subtotal of the minimum capital requirements for asset classes under the F-IRB (Foundation IRB) (without securitisation exposures)
         </t>
    </r>
    <r>
      <rPr>
        <b/>
        <sz val="10"/>
        <rFont val="Arial"/>
        <family val="2"/>
      </rPr>
      <t xml:space="preserve">before IRB scaling factor </t>
    </r>
  </si>
  <si>
    <t xml:space="preserve">   Subtotal of the minimum capital requirements for asset classes under the A-IRB (Advanced IRB) 
   (without securitisation exposures)</t>
  </si>
  <si>
    <t xml:space="preserve">2.1.2.2
</t>
  </si>
  <si>
    <t xml:space="preserve">   Subtotal of the minimum capital requirements for equity under the IRB</t>
  </si>
  <si>
    <r>
      <t xml:space="preserve">      Subtotal of the minimum capital requirements under the IRB for equity </t>
    </r>
    <r>
      <rPr>
        <b/>
        <sz val="10"/>
        <rFont val="Arial"/>
        <family val="2"/>
      </rPr>
      <t>before IRB scaling factor</t>
    </r>
  </si>
  <si>
    <t>Minimum capital requirements for settlement risk 
(art. 76 Capital Ordinance)</t>
  </si>
  <si>
    <t xml:space="preserve">2.1.3.1
</t>
  </si>
  <si>
    <t xml:space="preserve">2.1.3.2
</t>
  </si>
  <si>
    <t>Minimum capital requirements for trade exposures and posted collateral to qualifying CCPs 
(art. 69 Capital Ordinance)</t>
  </si>
  <si>
    <t>Minimum capital requirements for credit valuation adjustments (CVAs) 
(art. 55 Capital Ordinance)</t>
  </si>
  <si>
    <t>Minimum capital requirements for non-counterparty related risk
(arts. 78 and 79 Capital Ordinance)</t>
  </si>
  <si>
    <t>Minimum capital requirements for market risk
(arts. 80-88 Capital Ordinance)</t>
  </si>
  <si>
    <t>Minimum capital requirements for operational risk (OpR)
(arts. 89-94 Capital Ordinance)</t>
  </si>
  <si>
    <t xml:space="preserve">5.4
</t>
  </si>
  <si>
    <t xml:space="preserve">   (+) Equity according to financial statements (accounting scope of consolidation)</t>
  </si>
  <si>
    <t xml:space="preserve">      Specific risk of interest rate instruments held in the trading book</t>
  </si>
  <si>
    <t>2.3.1.1.1.1</t>
  </si>
  <si>
    <t>2.3.1.1.1.2</t>
  </si>
  <si>
    <t xml:space="preserve">         Specific risk of securitisation positions</t>
  </si>
  <si>
    <t xml:space="preserve">         Specific risk of non-securitisation positions</t>
  </si>
  <si>
    <t xml:space="preserve">      General market risk of interest rate instruments held in the trading book</t>
  </si>
  <si>
    <t xml:space="preserve">   Minimum capital requirements for asset classes pursuant to art. 63 Capital Ordinance (without securitisation exposures)</t>
  </si>
  <si>
    <t>2.2.2</t>
  </si>
  <si>
    <t>Other Fixed Assets as well as depreciable assets shown on the balance sheet as other assets</t>
  </si>
  <si>
    <t>2.1.1.1.0.3</t>
  </si>
  <si>
    <t>(–) In form of CET1</t>
  </si>
  <si>
    <t xml:space="preserve">      (+) Deferred tax liabilities associated with other intangible assets, gross amount</t>
  </si>
  <si>
    <t xml:space="preserve">   (–) Non-qualifying holdings in financial sector, gross amount to deduct 
   (art. 37 Capital Ordinance)</t>
  </si>
  <si>
    <t>Minimum capital requirements for credit risk under the SA-BIS</t>
  </si>
  <si>
    <t>Capital sheet</t>
  </si>
  <si>
    <t xml:space="preserve">   (–) Future expected dividends </t>
  </si>
  <si>
    <t xml:space="preserve">   = Equity relating to regulatory scope of consolidation</t>
  </si>
  <si>
    <t>1.1.1.9.7.4</t>
  </si>
  <si>
    <t xml:space="preserve">         (+) Elimination of losses in connection with own credit risk, in the context of the use of the fair value option, gross amount</t>
  </si>
  <si>
    <t>1.1.1.9.7.6</t>
  </si>
  <si>
    <t xml:space="preserve">         (–) Elimination of gains in connection with own credit risk, in the context of the use of the fair value option, gross amount</t>
  </si>
  <si>
    <t>1.1.1.9.7.8</t>
  </si>
  <si>
    <t xml:space="preserve">         (+) Elimination of other losses in connection with the use of the fair value option, gross amount</t>
  </si>
  <si>
    <t>1.1.1.9.7.10</t>
  </si>
  <si>
    <t xml:space="preserve">         (–) Elimination of other gains in connection with the use of the fair value option, gross amount</t>
  </si>
  <si>
    <t>1.1.1.9.7.15</t>
  </si>
  <si>
    <t xml:space="preserve">         (+) Elimination of losses from the valuation of cash flow hedges, gross amount</t>
  </si>
  <si>
    <t>1.1.1.9.7.17</t>
  </si>
  <si>
    <t xml:space="preserve">         (–) Elimination of gains from the valuation of cash flow hedges, gross amount</t>
  </si>
  <si>
    <t>1.1.1.8.4</t>
  </si>
  <si>
    <t xml:space="preserve">1.1.1.8.7
</t>
  </si>
  <si>
    <t xml:space="preserve">1.1.1.8.8
  </t>
  </si>
  <si>
    <t xml:space="preserve">1.1.1.8.9
  </t>
  </si>
  <si>
    <t xml:space="preserve">1.1.1.8.10
  </t>
  </si>
  <si>
    <t xml:space="preserve">1.1.1.9.2
  </t>
  </si>
  <si>
    <t xml:space="preserve">1.1.1.9.5
  </t>
  </si>
  <si>
    <t xml:space="preserve">1.1.1.9.6
  </t>
  </si>
  <si>
    <t xml:space="preserve">1.1.1.9.7
  </t>
  </si>
  <si>
    <t>1.1.1.9.7.1</t>
  </si>
  <si>
    <t>1.1.1.9.7.2</t>
  </si>
  <si>
    <t>1.1.1.9.7.3</t>
  </si>
  <si>
    <t>1.1.1.9.7.12</t>
  </si>
  <si>
    <t>1.1.1.9.7.13</t>
  </si>
  <si>
    <t>1.1.1.9.7.14</t>
  </si>
  <si>
    <t>1.1.1.10</t>
  </si>
  <si>
    <t xml:space="preserve">1.1.1.11
  </t>
  </si>
  <si>
    <t xml:space="preserve">1.1.1.11.1
  </t>
  </si>
  <si>
    <t xml:space="preserve">1.1.1.11.3
  </t>
  </si>
  <si>
    <t>1.1.1.11.4</t>
  </si>
  <si>
    <t xml:space="preserve">1.1.1.11.7
  </t>
  </si>
  <si>
    <t>1.1.1.11.8</t>
  </si>
  <si>
    <t xml:space="preserve">1.1.1.11.11
  </t>
  </si>
  <si>
    <t xml:space="preserve">1.1.1.11.13
  </t>
  </si>
  <si>
    <t xml:space="preserve">1.1.1.11.15
  </t>
  </si>
  <si>
    <t>1.1.1.11.16</t>
  </si>
  <si>
    <t xml:space="preserve">1.1.1.11.20
  </t>
  </si>
  <si>
    <t xml:space="preserve">1.1.1.11.24
  </t>
  </si>
  <si>
    <t>1.1.1.12</t>
  </si>
  <si>
    <t xml:space="preserve">1.1.1.13
  </t>
  </si>
  <si>
    <t xml:space="preserve">1.1.1.15
  </t>
  </si>
  <si>
    <t xml:space="preserve">1.1.1.18
  </t>
  </si>
  <si>
    <t xml:space="preserve">1.1.1.20
  </t>
  </si>
  <si>
    <t xml:space="preserve">1.1.1.23
  </t>
  </si>
  <si>
    <t xml:space="preserve">1.1.1.25
  </t>
  </si>
  <si>
    <t xml:space="preserve">1.1.1.27
  </t>
  </si>
  <si>
    <t>1.1.1.29</t>
  </si>
  <si>
    <t xml:space="preserve">1.1.1.31
 </t>
  </si>
  <si>
    <t xml:space="preserve">1.1.1.32
  </t>
  </si>
  <si>
    <t>1.1.1.35</t>
  </si>
  <si>
    <t xml:space="preserve">2.6
</t>
  </si>
  <si>
    <t xml:space="preserve">2.7
</t>
  </si>
  <si>
    <t xml:space="preserve">2.8
</t>
  </si>
  <si>
    <t>Other minimum capital requirements</t>
  </si>
  <si>
    <t xml:space="preserve">5.5
 </t>
  </si>
  <si>
    <t>5.5.1</t>
  </si>
  <si>
    <t>5.5.2</t>
  </si>
  <si>
    <t xml:space="preserve">5.6
 </t>
  </si>
  <si>
    <t xml:space="preserve">5.7
 </t>
  </si>
  <si>
    <t>5.7.1</t>
  </si>
  <si>
    <t>5.7.2</t>
  </si>
  <si>
    <t xml:space="preserve">      CET1 capital instruments of the parent company have the benefit of transitional adjustments (phase-out)
      (art. 141 Capital Ordinance)</t>
  </si>
  <si>
    <t>pursuant to arts. 84-87 Capital Ordinance</t>
  </si>
  <si>
    <t>Trading book (art. 5 Capital Ordinance) (2)</t>
  </si>
  <si>
    <t>Qualified interest rate instruments according to art. 4 let. e Capital Ordinance</t>
  </si>
  <si>
    <t>according to art. 88 Capital Ordinance</t>
  </si>
  <si>
    <t>Minimum capital requirements for exposures against default funds of central counterparties (CCPs) 
(art. 70 Capital Ordinance)</t>
  </si>
  <si>
    <t xml:space="preserve">      (+) Deferred tax liabilities on the amount of defined benefit pension funds assets, which the institution may not use without restriction</t>
  </si>
  <si>
    <t xml:space="preserve">1.1.1.11.17 </t>
  </si>
  <si>
    <t>Eligible adjusted common equity Tier 1 capital (CET1)
(arts. 21-26 Capital Ordinance, arts. 31-40 Capital Ordinance)</t>
  </si>
  <si>
    <t>2.10</t>
  </si>
  <si>
    <t>Check</t>
  </si>
  <si>
    <t>Please complete</t>
  </si>
  <si>
    <t>Irregular submission</t>
  </si>
  <si>
    <t>Company</t>
  </si>
  <si>
    <t>Department</t>
  </si>
  <si>
    <t>Post code/town</t>
  </si>
  <si>
    <t>Contact person</t>
  </si>
  <si>
    <t>Telephone</t>
  </si>
  <si>
    <t xml:space="preserve"> -&gt; Press Tab to move from field to field</t>
  </si>
  <si>
    <r>
      <rPr>
        <b/>
        <sz val="10"/>
        <rFont val="Arial"/>
        <family val="2"/>
      </rPr>
      <t>Submission deadline:</t>
    </r>
    <r>
      <rPr>
        <sz val="10"/>
        <rFont val="Arial"/>
        <family val="2"/>
      </rPr>
      <t xml:space="preserve"> The forms, which are required on a quarterly basis, must be submitted </t>
    </r>
    <r>
      <rPr>
        <b/>
        <sz val="10"/>
        <rFont val="Arial"/>
        <family val="2"/>
      </rPr>
      <t>within</t>
    </r>
  </si>
  <si>
    <r>
      <rPr>
        <b/>
        <sz val="10"/>
        <rFont val="Arial"/>
        <family val="2"/>
      </rPr>
      <t>six weeks</t>
    </r>
    <r>
      <rPr>
        <sz val="10"/>
        <rFont val="Arial"/>
        <family val="2"/>
      </rPr>
      <t xml:space="preserve"> of the reporting date at the latest.</t>
    </r>
  </si>
  <si>
    <t>Reporting date</t>
  </si>
  <si>
    <t>r01 = r02 + r03</t>
  </si>
  <si>
    <t>r05 &gt;= r06</t>
  </si>
  <si>
    <t>r08 &gt;= r09</t>
  </si>
  <si>
    <t>r16 &gt;= r17</t>
  </si>
  <si>
    <t>2.01.E0</t>
  </si>
  <si>
    <t>75%, of which</t>
  </si>
  <si>
    <t>r11 &gt;= r20</t>
  </si>
  <si>
    <t>1.1.1.11.26</t>
  </si>
  <si>
    <t>1.1.3.20</t>
  </si>
  <si>
    <t>T1.1.1.34.4</t>
  </si>
  <si>
    <t>T1.1.1.34.5</t>
  </si>
  <si>
    <t>T1.1.1.34.6</t>
  </si>
  <si>
    <t>T1.1.2.11.1.1</t>
  </si>
  <si>
    <t>T1.1.2.11.1.2</t>
  </si>
  <si>
    <t>T1.1.2.11.1.3</t>
  </si>
  <si>
    <t>T1.1.2.13.1</t>
  </si>
  <si>
    <t>T1.1.2.13.2</t>
  </si>
  <si>
    <t>T1.1.2.13.3</t>
  </si>
  <si>
    <t>T1.1.3.19.8</t>
  </si>
  <si>
    <t>T1.1.3.19.10</t>
  </si>
  <si>
    <t>T1.1.3.20.1</t>
  </si>
  <si>
    <t>T1.1.3.20.2</t>
  </si>
  <si>
    <t>T1.2.20</t>
  </si>
  <si>
    <t>T1.2.21</t>
  </si>
  <si>
    <t>T1.2.22</t>
  </si>
  <si>
    <t>T1.2.23</t>
  </si>
  <si>
    <t>T1.2.24</t>
  </si>
  <si>
    <t xml:space="preserve">T1.6
</t>
  </si>
  <si>
    <t>T1.6.1</t>
  </si>
  <si>
    <t>T1.6.2</t>
  </si>
  <si>
    <t xml:space="preserve">T1.6.3
</t>
  </si>
  <si>
    <t>T1.6.9</t>
  </si>
  <si>
    <t>T1.7.6</t>
  </si>
  <si>
    <t xml:space="preserve">T2.11
</t>
  </si>
  <si>
    <t>T3.1.1</t>
  </si>
  <si>
    <t>T3.1.2</t>
  </si>
  <si>
    <t>T3.1.3</t>
  </si>
  <si>
    <t>T3.1.4</t>
  </si>
  <si>
    <t>CET1 required for national countercyclical buffer (art. 44 Capital Ordinance)</t>
  </si>
  <si>
    <t xml:space="preserve">   Pro memoria item: Amount of risk-weighted assets subject to the countercyclical buffer requirement </t>
  </si>
  <si>
    <t xml:space="preserve">   Pro memoria item: Indication of the effective percentage required as countercyclical buffer</t>
  </si>
  <si>
    <t xml:space="preserve">1.1.1.34.1
  </t>
  </si>
  <si>
    <t xml:space="preserve">1.1.1.34.2
  </t>
  </si>
  <si>
    <t>T1.6.5</t>
  </si>
  <si>
    <t xml:space="preserve">T2.1.6.4
</t>
  </si>
  <si>
    <t xml:space="preserve">   (–) RWA-adjustments according to G10 Relief on systemically relevant solo entity
   (art. 125 Capital Ordinance)</t>
  </si>
  <si>
    <t>T4.1.2</t>
  </si>
  <si>
    <t>T4.1.3</t>
  </si>
  <si>
    <t>T4.2.2</t>
  </si>
  <si>
    <t>T4.2.3</t>
  </si>
  <si>
    <t>T2.1.6.5</t>
  </si>
  <si>
    <t>Capital adequacy reporting form in the context of Basel 3
Systemically important banks (SIB)</t>
  </si>
  <si>
    <t xml:space="preserve">Net CET1 capital, after partial deduction of direct and indirect investments in holdings which are to be consolidated, see 1.1.1.35 </t>
  </si>
  <si>
    <t>CSIB_CRSABIS</t>
  </si>
  <si>
    <t>Consolidated group</t>
  </si>
  <si>
    <t>CSIB_CASABISIRB</t>
  </si>
  <si>
    <t>CSIB_CRSABIS_01</t>
  </si>
  <si>
    <t>CSIB_CRSABIS_02</t>
  </si>
  <si>
    <t>CSIB_CRSABIS_03</t>
  </si>
  <si>
    <t>CSIB_CRSABIS_04</t>
  </si>
  <si>
    <t>CSIB_CRSABIS_05</t>
  </si>
  <si>
    <t>CSIB_CRSABIS_06</t>
  </si>
  <si>
    <t>CSIB_CRSABIS_07</t>
  </si>
  <si>
    <t>CSIB_MKR_BIS</t>
  </si>
  <si>
    <t>CSIB_CRSABIS.CNTR</t>
  </si>
  <si>
    <t>CSIB_CASABISIRB[461/01]</t>
  </si>
  <si>
    <t>CSIB_CASABISIRB[172/01]</t>
  </si>
  <si>
    <t>CSIB_CASABISIRB[173/01]</t>
  </si>
  <si>
    <t>CSIB_CASABISIRB[174/01]</t>
  </si>
  <si>
    <t>CSIB_SETT[01/02]</t>
  </si>
  <si>
    <t>CSIB_OPR[01/04]</t>
  </si>
  <si>
    <t>CSIB_OPR[02/04]</t>
  </si>
  <si>
    <t>CSIB_OPR[11/04]</t>
  </si>
  <si>
    <t>Systemically important banks (SIB)</t>
  </si>
  <si>
    <t>Credit, counterparty credit and delivery risks:</t>
  </si>
  <si>
    <t>CSIB_Basel3</t>
  </si>
  <si>
    <t>2.00.E1</t>
  </si>
  <si>
    <t>Tel: +41 58 631 00 00</t>
  </si>
  <si>
    <t>3.00.E0</t>
  </si>
  <si>
    <t>T1.1.2.11.1.A</t>
  </si>
  <si>
    <t>T1.1.2.11.1.B</t>
  </si>
  <si>
    <t>Sum of regulatory capital (CET1 and AT1), before adjustments in direct and indirect investments in holdings which are to be consolidated</t>
  </si>
  <si>
    <t xml:space="preserve">net AT1 capital, after all deductions except partial deduction of direct and indirect investments in holding which are to be consolidated </t>
  </si>
  <si>
    <t>T1.6.4</t>
  </si>
  <si>
    <t>Total Exposure 
(art. 129 Capital Ordinance)</t>
  </si>
  <si>
    <t>T2.11.1</t>
  </si>
  <si>
    <t>T3.2.1.5</t>
  </si>
  <si>
    <t>T3.2.1.5.1</t>
  </si>
  <si>
    <t>T3.2.1.5.2</t>
  </si>
  <si>
    <t>T3.2.1.5.3</t>
  </si>
  <si>
    <t>T3.2.1.6</t>
  </si>
  <si>
    <t>T3.2.1.6.1</t>
  </si>
  <si>
    <t xml:space="preserve">      (–) Deductions on CET1 capital related to direct and indirect investments in holdings which are to be consolidated (50% of item T1.2.24)</t>
  </si>
  <si>
    <t>T1.1.2.A</t>
  </si>
  <si>
    <t>T1.1.2.B</t>
  </si>
  <si>
    <t>T1.1.2.10.A</t>
  </si>
  <si>
    <t>T1.1.2.10.B</t>
  </si>
  <si>
    <t>T1.1.2.F</t>
  </si>
  <si>
    <t>T1.1.2.E</t>
  </si>
  <si>
    <t>T1.1.2.10.C</t>
  </si>
  <si>
    <t>T1.1.2.10.D</t>
  </si>
  <si>
    <t>T1.1.2.I</t>
  </si>
  <si>
    <t>T1.1.2.I.1</t>
  </si>
  <si>
    <t>T1.1.2.I.3.1</t>
  </si>
  <si>
    <t>T1.1.2.I.3.2</t>
  </si>
  <si>
    <t>T1.1.2.I.3.3</t>
  </si>
  <si>
    <t>T1.1.2.I.5.2</t>
  </si>
  <si>
    <t>T1.1.2.I.7</t>
  </si>
  <si>
    <t>T1.1.2.I.8</t>
  </si>
  <si>
    <t>T1.1.2.I.9</t>
  </si>
  <si>
    <t>T1.1.2.I.10</t>
  </si>
  <si>
    <t>T1.1.2.I.11</t>
  </si>
  <si>
    <t>T1.1.2.I.12</t>
  </si>
  <si>
    <t>T1.1.2.I.13</t>
  </si>
  <si>
    <t>T1.1.2.I.14</t>
  </si>
  <si>
    <t xml:space="preserve">T1.1.2.I.2
</t>
  </si>
  <si>
    <t xml:space="preserve">T1.1.2.I.4
</t>
  </si>
  <si>
    <t xml:space="preserve">T1.1.2.I.5.3
</t>
  </si>
  <si>
    <t xml:space="preserve">T1.1.2.I.6
</t>
  </si>
  <si>
    <t>T1.1.2.11.1.E</t>
  </si>
  <si>
    <t>T1.1.2.11.1.F</t>
  </si>
  <si>
    <t>T1.1.2.11.1.G</t>
  </si>
  <si>
    <t>T1.1.2.11.1.H</t>
  </si>
  <si>
    <t>T1.1.2.11.1.I</t>
  </si>
  <si>
    <t>T1.1.2.11.1.J</t>
  </si>
  <si>
    <t>T1.1.2.11.1.K</t>
  </si>
  <si>
    <t>T1.1.2.11.1.L</t>
  </si>
  <si>
    <t xml:space="preserve">T1.1.2.11.1.C
</t>
  </si>
  <si>
    <t xml:space="preserve">T1.1.2.11.1.D
</t>
  </si>
  <si>
    <t xml:space="preserve">1.1.2.11.A
</t>
  </si>
  <si>
    <t>1.1.2.12.6</t>
  </si>
  <si>
    <t>T1.1.2.13.A</t>
  </si>
  <si>
    <t>T1.1.3.19.D</t>
  </si>
  <si>
    <t>T1.1.3.19.E</t>
  </si>
  <si>
    <t>T1.1.3.19.F</t>
  </si>
  <si>
    <t>T1.1.3.19.G</t>
  </si>
  <si>
    <t>T1.1.3.19.C</t>
  </si>
  <si>
    <t>T1.1.3.19.N</t>
  </si>
  <si>
    <t>T1.1.3.19.O</t>
  </si>
  <si>
    <t>T1.1.3.19.P</t>
  </si>
  <si>
    <t>T1.1.3.19.Q</t>
  </si>
  <si>
    <t>T1.1.3.19.R</t>
  </si>
  <si>
    <t>T1.1.3.19.S</t>
  </si>
  <si>
    <t>T1.1.3.19.T</t>
  </si>
  <si>
    <t>T1.1.3.19.U</t>
  </si>
  <si>
    <t xml:space="preserve">T1.1.3.19.M
</t>
  </si>
  <si>
    <t>T1.1.3.20.C</t>
  </si>
  <si>
    <t>T1.1.3.20.D</t>
  </si>
  <si>
    <t>T1.1.3.20.E</t>
  </si>
  <si>
    <t>T1.1.3.20.F</t>
  </si>
  <si>
    <t>T1.1.2.13.C</t>
  </si>
  <si>
    <t>T1.1.2.13.D</t>
  </si>
  <si>
    <t>T1.1.2.13.E</t>
  </si>
  <si>
    <t xml:space="preserve">T1.2.B
</t>
  </si>
  <si>
    <t>1.2.31</t>
  </si>
  <si>
    <t>1.2.31.1</t>
  </si>
  <si>
    <t>1.2.31.3</t>
  </si>
  <si>
    <t>1.2.31.4</t>
  </si>
  <si>
    <t>1.2.31.5</t>
  </si>
  <si>
    <t>1.2.31.6</t>
  </si>
  <si>
    <t>1.2.31.7</t>
  </si>
  <si>
    <t>1.2.31.8</t>
  </si>
  <si>
    <t>1.2.31.9.1</t>
  </si>
  <si>
    <t>1.2.31.9.2</t>
  </si>
  <si>
    <t>1.2.31.9.3</t>
  </si>
  <si>
    <t>1.2.31.10</t>
  </si>
  <si>
    <t>1.2.31.11</t>
  </si>
  <si>
    <t>T1.3.4.A</t>
  </si>
  <si>
    <t>T1.3.4.B</t>
  </si>
  <si>
    <t>T1.3.4.C</t>
  </si>
  <si>
    <t>T1.3.4.D</t>
  </si>
  <si>
    <t>T1.3.4.E</t>
  </si>
  <si>
    <t>T1.3.4.F</t>
  </si>
  <si>
    <t>T1.3.4.G</t>
  </si>
  <si>
    <t>T1.3.5.1</t>
  </si>
  <si>
    <t>T1.3.5.2</t>
  </si>
  <si>
    <t>T1.3.5.3</t>
  </si>
  <si>
    <t>T1.3.5.4</t>
  </si>
  <si>
    <t>T1.3.5.5</t>
  </si>
  <si>
    <t>T1.3.5.6</t>
  </si>
  <si>
    <t>T1.3.5.7</t>
  </si>
  <si>
    <t>T1.3.5.8</t>
  </si>
  <si>
    <t>T1.3.5.9</t>
  </si>
  <si>
    <t>T1.3.5.10</t>
  </si>
  <si>
    <t>T1.3.5.11</t>
  </si>
  <si>
    <t>T1.3.5.12</t>
  </si>
  <si>
    <t>T1.3.5.13</t>
  </si>
  <si>
    <t>T1.3.6.1</t>
  </si>
  <si>
    <t>T1.3.6.2</t>
  </si>
  <si>
    <t>T1.3.6.3</t>
  </si>
  <si>
    <t>T1.3.6.4</t>
  </si>
  <si>
    <t>T1.3.6.5</t>
  </si>
  <si>
    <t>T1.3.6.6</t>
  </si>
  <si>
    <t>T1.3.6.7</t>
  </si>
  <si>
    <t>T1.3.6.8</t>
  </si>
  <si>
    <t>T1.3.6.9</t>
  </si>
  <si>
    <t>T1.3.6.10</t>
  </si>
  <si>
    <t>T1.3.6.11</t>
  </si>
  <si>
    <t>T1.3.6.12</t>
  </si>
  <si>
    <t>T1.3.6.13</t>
  </si>
  <si>
    <t>T1.3.7.1</t>
  </si>
  <si>
    <t>T1.3.7.2</t>
  </si>
  <si>
    <t>T1.3.7.3</t>
  </si>
  <si>
    <t>T1.3.7.4</t>
  </si>
  <si>
    <t>T1.3.7.5</t>
  </si>
  <si>
    <t>T1.3.7.6</t>
  </si>
  <si>
    <t>T1.3.7.7</t>
  </si>
  <si>
    <t>T1.3.7.8</t>
  </si>
  <si>
    <t>T1.3.7.9</t>
  </si>
  <si>
    <t>T1.3.7.10</t>
  </si>
  <si>
    <t>T1.3.7.11</t>
  </si>
  <si>
    <t>T1.3.7.12</t>
  </si>
  <si>
    <t>T1.3.8.1</t>
  </si>
  <si>
    <t>T1.3.8.2</t>
  </si>
  <si>
    <t>T1.3.8.3</t>
  </si>
  <si>
    <t>T1.3.8.4</t>
  </si>
  <si>
    <t>T1.3.8.5</t>
  </si>
  <si>
    <t>T1.3.8.6</t>
  </si>
  <si>
    <t>T1.3.8.7</t>
  </si>
  <si>
    <t>T1.3.8.8</t>
  </si>
  <si>
    <t>T1.3.8.9</t>
  </si>
  <si>
    <t>T1.3.8.10</t>
  </si>
  <si>
    <t>T1.3.8.11</t>
  </si>
  <si>
    <t>T1.3.8.12</t>
  </si>
  <si>
    <t xml:space="preserve">T1.3.8
</t>
  </si>
  <si>
    <t>T1.3.7</t>
  </si>
  <si>
    <t>(–) CET 1 capital, portion used to cover gone concern requirements</t>
  </si>
  <si>
    <t xml:space="preserve">net AT1 capital, after all deductions included partial deduction of direct and indirect investments in holding which are to be consolidated </t>
  </si>
  <si>
    <t>T1.6.A</t>
  </si>
  <si>
    <t>T1.6.A.1</t>
  </si>
  <si>
    <t>T1.6.A.2</t>
  </si>
  <si>
    <t>T1.6.A.3</t>
  </si>
  <si>
    <t>T1.6.B</t>
  </si>
  <si>
    <t>T1.6.B.1</t>
  </si>
  <si>
    <t>T1.6.B.2</t>
  </si>
  <si>
    <t>(–) AT1 capital, portion used to cover gone concern requirements</t>
  </si>
  <si>
    <t>T1.7.A</t>
  </si>
  <si>
    <t>Remaining net CET1 capital</t>
  </si>
  <si>
    <t xml:space="preserve">2.1.1.1.7
 </t>
  </si>
  <si>
    <t>T2.11.2</t>
  </si>
  <si>
    <t xml:space="preserve">T2.12
</t>
  </si>
  <si>
    <t>T2.12.1</t>
  </si>
  <si>
    <t>Total Exposure as of end of last year for determination of add-on</t>
  </si>
  <si>
    <t>Total Market Share 
(art. 129 Capital Ordinance)</t>
  </si>
  <si>
    <t>Market Share as of end of last year for determination of add-on</t>
  </si>
  <si>
    <t>T3</t>
  </si>
  <si>
    <t>T3.1</t>
  </si>
  <si>
    <t>T3.1.1.1</t>
  </si>
  <si>
    <t>T3.1.1.2</t>
  </si>
  <si>
    <t>T3.1.1.3</t>
  </si>
  <si>
    <t>T3.1.1.4</t>
  </si>
  <si>
    <t>T3.1.1.4.1</t>
  </si>
  <si>
    <t>T3.1.1.4.2</t>
  </si>
  <si>
    <t>T3.1.1.4.3</t>
  </si>
  <si>
    <t>Going and Gone Concern Requirements</t>
  </si>
  <si>
    <t>TBTF-specific Percentage Requirements</t>
  </si>
  <si>
    <t>T3.1.1.4.4</t>
  </si>
  <si>
    <t>Going Concern Requirements (RWA)</t>
  </si>
  <si>
    <t>T3.1.1.5</t>
  </si>
  <si>
    <t>T3.1.1.5.1</t>
  </si>
  <si>
    <t>T3.1.1.5.1.1</t>
  </si>
  <si>
    <t>T3.1.1.5.1.1.1</t>
  </si>
  <si>
    <t>T3.1.1.5.1.1.2</t>
  </si>
  <si>
    <t>T3.1.1.5.1.2</t>
  </si>
  <si>
    <t>T3.1.1.5.1.2.1</t>
  </si>
  <si>
    <t>T3.1.1.5.1.2.2</t>
  </si>
  <si>
    <t>T3.1.1.5.2</t>
  </si>
  <si>
    <t>T3.1.1.5.3</t>
  </si>
  <si>
    <t>T3.1.1.5.4</t>
  </si>
  <si>
    <t>T3.1.1.5.4.1</t>
  </si>
  <si>
    <t>T3.1.1.5.4.2</t>
  </si>
  <si>
    <t>T3.1.2.1</t>
  </si>
  <si>
    <t>T3.1.2.2</t>
  </si>
  <si>
    <t>T3.1.2.3</t>
  </si>
  <si>
    <t>T3.1.2.4</t>
  </si>
  <si>
    <t>T3.1.2.4.1</t>
  </si>
  <si>
    <t>T3.1.2.4.1.1</t>
  </si>
  <si>
    <t>T3.1.2.4.1.2</t>
  </si>
  <si>
    <t>T3.1.2.4.2</t>
  </si>
  <si>
    <t>T3.1.2.4.2.1</t>
  </si>
  <si>
    <t>T3.1.2.4.2.2</t>
  </si>
  <si>
    <t>T3.1.3.1</t>
  </si>
  <si>
    <t>T3.1.3.2</t>
  </si>
  <si>
    <t>T3.1.3.3</t>
  </si>
  <si>
    <t>T3.1.3.4</t>
  </si>
  <si>
    <t>T3.1.3.5</t>
  </si>
  <si>
    <t>T3.1.3.6</t>
  </si>
  <si>
    <t>T3.1.4.1</t>
  </si>
  <si>
    <t>T3.1.4.2</t>
  </si>
  <si>
    <t>T3.1.4.3</t>
  </si>
  <si>
    <t>T3.1.4.4</t>
  </si>
  <si>
    <t>T3.1.4.5</t>
  </si>
  <si>
    <t>T3.1.4.6</t>
  </si>
  <si>
    <t>T3.2</t>
  </si>
  <si>
    <t>Going Concern Requirements (Leverage Ratio)</t>
  </si>
  <si>
    <t>TBTF-specific Absolute Requirements</t>
  </si>
  <si>
    <t>T3.2.1</t>
  </si>
  <si>
    <t>T3.2.1.1</t>
  </si>
  <si>
    <t>T3.2.1.1.1</t>
  </si>
  <si>
    <t>T3.2.1.2</t>
  </si>
  <si>
    <t>T3.2.1.2.1</t>
  </si>
  <si>
    <t>T3.2.1.2.2</t>
  </si>
  <si>
    <t>T3.2.1.2.3</t>
  </si>
  <si>
    <t>T3.2.1.3</t>
  </si>
  <si>
    <t>T3.2.1.3.1</t>
  </si>
  <si>
    <t>T3.2.1.3.2</t>
  </si>
  <si>
    <t>T3.2.1.4</t>
  </si>
  <si>
    <t>T3.2.1.4.1</t>
  </si>
  <si>
    <t>T3.2.1.4.2</t>
  </si>
  <si>
    <t>met by AT1 HT CoCo</t>
  </si>
  <si>
    <t>T3.2.1.5.5</t>
  </si>
  <si>
    <t xml:space="preserve">   Pro memoria item: Amount of risk-weighted assets subject to the extended countercyclical buffer requirement </t>
  </si>
  <si>
    <t>T3.2.1.5.6</t>
  </si>
  <si>
    <t xml:space="preserve">   Pro memoria item: Indication of the effective percentage required as extended countercyclical buffer</t>
  </si>
  <si>
    <t>T3.2.1.6.1.1</t>
  </si>
  <si>
    <t>T3.2.1.6.1.2</t>
  </si>
  <si>
    <t>T3.2.1.6.2</t>
  </si>
  <si>
    <t>T3.2.1.6.2.2</t>
  </si>
  <si>
    <t>T3.2.1.6.2.1</t>
  </si>
  <si>
    <t>T3.2.1.6.2.4</t>
  </si>
  <si>
    <t>T3.2.1.6.2.5</t>
  </si>
  <si>
    <t>T3.2.1.6.2.6</t>
  </si>
  <si>
    <t>T3.2.1.6.2.7</t>
  </si>
  <si>
    <t>T3.2.1.6.2.8</t>
  </si>
  <si>
    <t>T3.2.1.7</t>
  </si>
  <si>
    <t>T3.2.1.7.1</t>
  </si>
  <si>
    <t>T3.2.1.7.2</t>
  </si>
  <si>
    <t>T3.2.2</t>
  </si>
  <si>
    <t>T3.2.2.1</t>
  </si>
  <si>
    <t>T3.2.2.1.1</t>
  </si>
  <si>
    <t>T3.2.2.2</t>
  </si>
  <si>
    <t>T3.2.2.2.1</t>
  </si>
  <si>
    <t>T3.2.2.2.2</t>
  </si>
  <si>
    <t>T3.2.2.2.3</t>
  </si>
  <si>
    <t>T3.2.2.3</t>
  </si>
  <si>
    <t>T3.2.2.3.1</t>
  </si>
  <si>
    <t>T3.2.2.3.2</t>
  </si>
  <si>
    <t>T3.2.2.4</t>
  </si>
  <si>
    <t>T3.2.2.4.1</t>
  </si>
  <si>
    <t>T3.2.3</t>
  </si>
  <si>
    <t>T3.2.3.1</t>
  </si>
  <si>
    <t>T3.2.3.2</t>
  </si>
  <si>
    <t>T3.2.3.2.1</t>
  </si>
  <si>
    <t>T3.2.3.2.2</t>
  </si>
  <si>
    <t>T3.2.3.2.3</t>
  </si>
  <si>
    <t>T3.2.3.2.4</t>
  </si>
  <si>
    <t>T3.2.3.2.5</t>
  </si>
  <si>
    <t>T3.2.3.3</t>
  </si>
  <si>
    <t>T3.2.4</t>
  </si>
  <si>
    <t>T3.2.4.1</t>
  </si>
  <si>
    <t>T3.2.4.2</t>
  </si>
  <si>
    <t>T3.2.4.2.1</t>
  </si>
  <si>
    <t>T3.2.4.2.2</t>
  </si>
  <si>
    <t>T3.2.4.2.3</t>
  </si>
  <si>
    <t>T3.2.4.2.4</t>
  </si>
  <si>
    <t>T3.2.4.2.5</t>
  </si>
  <si>
    <t>T3.2.4.3</t>
  </si>
  <si>
    <t>T3.2.5</t>
  </si>
  <si>
    <t>T3.2.5.1</t>
  </si>
  <si>
    <t>T3.2.5.1.1</t>
  </si>
  <si>
    <t>T3.2.5.1.1.1</t>
  </si>
  <si>
    <t>T3.2.5.1.1.2</t>
  </si>
  <si>
    <t>T3.2.5.1.2</t>
  </si>
  <si>
    <t>T3.2.5.1.2.1</t>
  </si>
  <si>
    <t>T3.2.5.1.2.2</t>
  </si>
  <si>
    <t>T3.2.5.1.3</t>
  </si>
  <si>
    <t>T3.2.5.1.4</t>
  </si>
  <si>
    <t>T3.2.5.1.5</t>
  </si>
  <si>
    <t>T3.2.5.1.5.1</t>
  </si>
  <si>
    <t>T3.2.5.1.5.1.1</t>
  </si>
  <si>
    <t>T3.2.5.1.5.2</t>
  </si>
  <si>
    <t>T3.2.5.1.5.3</t>
  </si>
  <si>
    <t>T3.2.5.2</t>
  </si>
  <si>
    <t>T3.2.5.2.1</t>
  </si>
  <si>
    <t>T3.2.5.2.2</t>
  </si>
  <si>
    <t>T3.2.5.3</t>
  </si>
  <si>
    <t>T3.2.5.3.1</t>
  </si>
  <si>
    <t>T3.2.5.4</t>
  </si>
  <si>
    <t>T3.2.5.4.1</t>
  </si>
  <si>
    <t>Total Requirements</t>
  </si>
  <si>
    <t>Transitional Requirements</t>
  </si>
  <si>
    <t>T4.1</t>
  </si>
  <si>
    <t>T4.1.1</t>
  </si>
  <si>
    <t>T4.1.1.1</t>
  </si>
  <si>
    <t>Going-Concern</t>
  </si>
  <si>
    <t>Total Capital Ratio (CET1 + HT CoCo)</t>
  </si>
  <si>
    <t>Base and Buffer Ratio Requirement</t>
  </si>
  <si>
    <t>Total Capital Ratio Requirement</t>
  </si>
  <si>
    <t>Base and Buffer Ratio Requirement plus countercyclical buffer</t>
  </si>
  <si>
    <t>Total Capital Ratio Requirement plus countercyclical buffer</t>
  </si>
  <si>
    <t>Base and Buffer Ratio Requirement plus countercyclical buffer plus Pillar I add-on (not affecting RWA)</t>
  </si>
  <si>
    <t>Base and Buffer Ratio Requirement plus countercyclical buffer plus Pillar I add-on (not affecting RWA) and Pillar 2 add-on</t>
  </si>
  <si>
    <t>Total Capital Ratio Requirement: Base and Buffer Ratio Requirement plus countercyclical buffer plus Pillar I add-on (not affecting RWA) plus Pillar II add-on</t>
  </si>
  <si>
    <t>CET1 Ratio</t>
  </si>
  <si>
    <t>CET1 Ratio excluding CET1 used to cover HT CoCo requirements</t>
  </si>
  <si>
    <t>CET1 Ratio Requirement</t>
  </si>
  <si>
    <t>CET1 Ratio Requirement plus countercyclical buffer</t>
  </si>
  <si>
    <t>CET1 Target Ratio plus countercyclical buffer</t>
  </si>
  <si>
    <t>CET1 Ratio Requirement plus countercyclical buffer plus Pillar I add-on (not affecting RWA)</t>
  </si>
  <si>
    <t>CET1 Ratio Requirement plus countercyclical buffer plus Pillar I add-on (not affecting RWA) and Pillar 2 add-on</t>
  </si>
  <si>
    <t>T4.1.1.1.1</t>
  </si>
  <si>
    <t>T4.1.1.1.2</t>
  </si>
  <si>
    <t>T4.1.1.1.3</t>
  </si>
  <si>
    <t>T4.1.1.1.4</t>
  </si>
  <si>
    <t>T4.1.1.1.5</t>
  </si>
  <si>
    <t>T4.1.1.1.7</t>
  </si>
  <si>
    <t>T4.1.1.1.8</t>
  </si>
  <si>
    <t>T4.1.1.1.9</t>
  </si>
  <si>
    <t>T4.1.1.1.10</t>
  </si>
  <si>
    <t>T4.1.1.1.11</t>
  </si>
  <si>
    <t>T4.1.1.1.12</t>
  </si>
  <si>
    <t>T4.1.1.1.13</t>
  </si>
  <si>
    <t>T4.1.1.1.14</t>
  </si>
  <si>
    <t>T4.1.1.1.15</t>
  </si>
  <si>
    <t xml:space="preserve">Total capital excess (shortfall) </t>
  </si>
  <si>
    <t>CET1 capital excess (shortfall)</t>
  </si>
  <si>
    <t>T4.1.1.2</t>
  </si>
  <si>
    <t>T4.2.1.2</t>
  </si>
  <si>
    <t>T4.2.1.2.1</t>
  </si>
  <si>
    <t>T4.2.1.2.2</t>
  </si>
  <si>
    <t>T4.2.1.2.3</t>
  </si>
  <si>
    <t>T4.2.1.2.5</t>
  </si>
  <si>
    <t>T4.2.1.2.6</t>
  </si>
  <si>
    <t>T4.2.1.2.7</t>
  </si>
  <si>
    <t>T4.2.1.2.8</t>
  </si>
  <si>
    <t>T4.2.1.2.9</t>
  </si>
  <si>
    <t>T4.2.2.1</t>
  </si>
  <si>
    <t>T4.2.2.2</t>
  </si>
  <si>
    <t>T4.2.2.3</t>
  </si>
  <si>
    <t>T4.2.2.4</t>
  </si>
  <si>
    <t>T4.2.3.1</t>
  </si>
  <si>
    <t>T4.2.3.2</t>
  </si>
  <si>
    <t>T4.2.3.3</t>
  </si>
  <si>
    <t>T4.2.3.4</t>
  </si>
  <si>
    <t>Leverage Ratio Basel III</t>
  </si>
  <si>
    <t>Total Leverage Ratio</t>
  </si>
  <si>
    <t>Leverage Ratio TBTF2</t>
  </si>
  <si>
    <t>Leverage Ratio TBTF2_adj_1 (excluding T2 instruments taken into account as AT1 instruments during transition phase)</t>
  </si>
  <si>
    <t>Leverage Ratio TBTF2_adj_2 (excluding T2 instruments taken into account as AT1 instruments during transition phase and excluding AT1 LT CoCos)</t>
  </si>
  <si>
    <t>Leverage Ratio Requirement</t>
  </si>
  <si>
    <t>Total Leverage Ratio Requirement</t>
  </si>
  <si>
    <t>CET1 Leverage Ratio</t>
  </si>
  <si>
    <t>CET1 Leverage Ratio Requirement</t>
  </si>
  <si>
    <t>RWA Ratio</t>
  </si>
  <si>
    <t>RWA Ratio Requirement</t>
  </si>
  <si>
    <t>Leverage Ratio</t>
  </si>
  <si>
    <t>Total RWA-Ratio</t>
  </si>
  <si>
    <t>Total RWA-Ratio Requirement</t>
  </si>
  <si>
    <t>Total LR-Ratio</t>
  </si>
  <si>
    <t>Total LR-Ratio Requirement</t>
  </si>
  <si>
    <t>T4.1.1.2.1</t>
  </si>
  <si>
    <t>T4.1.1.2.2</t>
  </si>
  <si>
    <t>T4.1.1.2.3</t>
  </si>
  <si>
    <t>T4.1.1.2.5</t>
  </si>
  <si>
    <t>T4.1.1.2.6</t>
  </si>
  <si>
    <t>T4.1.1.2.7</t>
  </si>
  <si>
    <t>T4.1.1.2.8</t>
  </si>
  <si>
    <t>T4.1.1.2.9</t>
  </si>
  <si>
    <t>T4.1.2.1</t>
  </si>
  <si>
    <t>T4.1.2.2</t>
  </si>
  <si>
    <t>T4.1.2.3</t>
  </si>
  <si>
    <t>T4.1.2.4</t>
  </si>
  <si>
    <t>T4.1.3.1</t>
  </si>
  <si>
    <t>T4.1.3.2</t>
  </si>
  <si>
    <t>T4.1.3.3</t>
  </si>
  <si>
    <t>T4.1.3.4</t>
  </si>
  <si>
    <t>T4.2.1</t>
  </si>
  <si>
    <t>T4.2.1.1</t>
  </si>
  <si>
    <t>T4.2.1.1.1</t>
  </si>
  <si>
    <t>T4.2.1.1.2</t>
  </si>
  <si>
    <t>T4.2.1.1.3</t>
  </si>
  <si>
    <t>T4.2.1.1.4</t>
  </si>
  <si>
    <t>T4.2.1.1.5</t>
  </si>
  <si>
    <t>T4.2.1.1.7</t>
  </si>
  <si>
    <t>T4.2.1.1.8</t>
  </si>
  <si>
    <t>T4.2.1.1.9</t>
  </si>
  <si>
    <t>T4.2.1.1.10</t>
  </si>
  <si>
    <t>T4.2.1.1.11</t>
  </si>
  <si>
    <t>T4.2.1.1.12</t>
  </si>
  <si>
    <t>T4.2.1.1.13</t>
  </si>
  <si>
    <t>T4.2.1.1.14</t>
  </si>
  <si>
    <t>T4.2.1.1.15</t>
  </si>
  <si>
    <t>Total Capital Requirement: Base and Buffer Ratio Requirement plus countercyclical buffer plus Pillar I add-on (not affecting RWA) plus Pillar II add-on</t>
  </si>
  <si>
    <t xml:space="preserve">T1.1.1.34.7
</t>
  </si>
  <si>
    <t xml:space="preserve">1.1.2
</t>
  </si>
  <si>
    <t xml:space="preserve">(+) Paid up capital instruments, having the form of AT1/high trigger issued by the parent company </t>
  </si>
  <si>
    <t>(+) Paid up capital instruments, having the form of AT1/high trigger issued by other group entities (majority interests)</t>
  </si>
  <si>
    <t xml:space="preserve">T1.1.2.C
</t>
  </si>
  <si>
    <t>(+) Share premium relating to AT1 (in the case where segregation from other reserves is required)</t>
  </si>
  <si>
    <t>(+) AT1/high trigger related to minority interests issued by banking subsidiaries, net eligible amount in proportion of local capital needs</t>
  </si>
  <si>
    <t>(+) AT1/low trigger related to minority interests issued by banking subsidiaries, net eligible amount in proportion of local capital needs 
(until first call date)</t>
  </si>
  <si>
    <t>AT1/high trigger (parent company &amp; subsidiaries)</t>
  </si>
  <si>
    <t>AT1/low trigger (parent company &amp; subsidiaries)</t>
  </si>
  <si>
    <t>Pro memoria items, in relations with absorbance of deductions</t>
  </si>
  <si>
    <t>other T2 instruments, with PONV feature, issued by the parent company and other group entities (majority interests)</t>
  </si>
  <si>
    <t>(–) reduction in the eligibility due to amortisation mechanism</t>
  </si>
  <si>
    <t>= net amount of other T2 instruments with PONV feature, issued by the parent company and other group entities (majority interests)</t>
  </si>
  <si>
    <t>other T2 instruments, with PONV feature, related to minority interests issued by banking subsidiaries, net eligible amount in proportion of local capital needs, after impact of amortisation mechanism</t>
  </si>
  <si>
    <t>T1.1.2.I.5.1</t>
  </si>
  <si>
    <t>other T2 instruments, without PONV feature, issued by the parent company and other group entities (majority interests), subject to phase-out</t>
  </si>
  <si>
    <t>= net amount of other T2 instruments, without PONV feature, issued by the parent company and other group entities (majority interests), subject to phase out</t>
  </si>
  <si>
    <t>Other T2 instruments, without PONV feature, related to minority interests issued by banking and non banking subsidiaries, subject to phase out, after impact of amortisation mechanism</t>
  </si>
  <si>
    <t>Sub-total: sum of former AT1 &amp; T2 instruments, available for absorbance of deductions</t>
  </si>
  <si>
    <t>Hidden reserves included in provisions, after deduction of deferred taxes, if any (only individuel level)</t>
  </si>
  <si>
    <t>Hidden reserves included in participating interests and tangible fixed assets, after deduction of deferred taxes, if any (only individuel level)</t>
  </si>
  <si>
    <t>Reevaluation reserves in available-for-sale equity securities and debt securities</t>
  </si>
  <si>
    <t>General provisions for default risk under standardised approach</t>
  </si>
  <si>
    <t>Provisions excess under IRB approach</t>
  </si>
  <si>
    <t>= SUM of all items available for absorbance of deductions</t>
  </si>
  <si>
    <t>of which reserves and general provisions &amp; provisions excess</t>
  </si>
  <si>
    <t>1.1.2.11</t>
  </si>
  <si>
    <t xml:space="preserve">1.1.2.11.1
</t>
  </si>
  <si>
    <t>(–) Own AT1/high trigger</t>
  </si>
  <si>
    <t>(–) Own AT1/low trigger</t>
  </si>
  <si>
    <t>(–) Own T2/high trigger (after having taken into account the impact of the reduction in the eligibility due to amortisation mechanism)</t>
  </si>
  <si>
    <t>(–) Own T2/low trigger (after having taken into account the impact of the reduction in the eligibility due to amortisation mechanism)</t>
  </si>
  <si>
    <t>(–) Own other T2 instruments with PONV feature (after having taken into account the impact of the reduction in the eligibility due to amortisation mechanism)</t>
  </si>
  <si>
    <t>(–) Own other T2 instruments, without PONV feature (after having taken into account the impact of the reduction in the eligibility due to amortisation mechanism as well as the phase-out mechanism)</t>
  </si>
  <si>
    <t>Remainings amounts after preliminary deduction (own instruments held in banking book or trading book)</t>
  </si>
  <si>
    <t>T2 / low trigger (eligible until the later of maturity or 1st call date or 31 Dec. 2019 as TBTF additional tier 1 capital)</t>
  </si>
  <si>
    <t>other T2 instruments with PONV feature</t>
  </si>
  <si>
    <t>other T2 instruments without PONV feature</t>
  </si>
  <si>
    <t xml:space="preserve">1.1.2.11.1.M
</t>
  </si>
  <si>
    <t>Second group of deduction concerning former AT1 and T2 capital as well as capital recognised presently as AT1 capital (deduction to apply in a corresponding manner. In case of insufficient corresponding capital, the deduction is to apply on instruments of better quality)</t>
  </si>
  <si>
    <t>(–) SUM of second group of deductions</t>
  </si>
  <si>
    <t xml:space="preserve">T1.1.2.13.B </t>
  </si>
  <si>
    <t>Net AT1/high trigger capital</t>
  </si>
  <si>
    <t>Net AT1/low trigger (eligible during transition period)</t>
  </si>
  <si>
    <t>Net T2/high trigger (eligible during transition period)</t>
  </si>
  <si>
    <t>Net T2/low trigger (eligible during transition period)</t>
  </si>
  <si>
    <t>= SUM of AT1 capital (before adjustments for direct an indirect investments in holdings which are to be consolidated)</t>
  </si>
  <si>
    <t>(–) of which allocated to AT1/high trigger capital</t>
  </si>
  <si>
    <t>(–) of which allocated to AT1/low trigger capital</t>
  </si>
  <si>
    <t>(–) of which allocated to T2/high trigger capital</t>
  </si>
  <si>
    <t>(–) of which allocated to T2/low trigger capital</t>
  </si>
  <si>
    <t>(–) of which allocated to reserves and general provisions &amp; provisions excess</t>
  </si>
  <si>
    <t>(+) excess of deductions related to direct and indirect investments in holdings which are to be consolidated, attributed to CET1 capital</t>
  </si>
  <si>
    <t>= SUM of net AT1 capital (after adjustments to direct and indirect investments in holdings which are to be consolidated)</t>
  </si>
  <si>
    <t xml:space="preserve">pro memoria: amount of capital lower quality, not absorbed by deductions and available as bail-in instruments </t>
  </si>
  <si>
    <t xml:space="preserve">b) other T2 instruments with PONV feature </t>
  </si>
  <si>
    <t>c) other T2 instruments without PONV feature</t>
  </si>
  <si>
    <t>Pro memoria item: amount of direct investments in holdings which are to be consolidated</t>
  </si>
  <si>
    <t>Pro memoria item: amount of indirect investments in holdings which are to be consolidated</t>
  </si>
  <si>
    <t>Pro memoria item: sum of direct and indirect investments in holdings which are to be consolidated</t>
  </si>
  <si>
    <t>Other T2, with PONV feature, not taken into account for deduction absorbance, because of amortisation mechanism</t>
  </si>
  <si>
    <t>Other T2, without PONV feature, not taken into account for deduction absorbance, because of amortisation mechanism</t>
  </si>
  <si>
    <t>Gross amount of other instruments fullfilling the conditions for recognition as bail-in instruments (after deduction of own holdings)</t>
  </si>
  <si>
    <t>= net amount of other instruments fulfilling the conditions for recognition as bail-in instruments</t>
  </si>
  <si>
    <t>residual maturity &gt; 10 years</t>
  </si>
  <si>
    <t>residual maturity &gt; 9 years and ≤ 10 years</t>
  </si>
  <si>
    <t>residual maturity &gt; 8  years and ≤ 9 years</t>
  </si>
  <si>
    <t>residual maturity &gt; 7 years and ≤ 8 years</t>
  </si>
  <si>
    <t>residual maturity &gt; 6 years and ≤ 7 years</t>
  </si>
  <si>
    <t>residual maturity &gt; 5 years and ≤ 6 years</t>
  </si>
  <si>
    <t>residual maturity &gt; 4 years and ≤ 5 years</t>
  </si>
  <si>
    <t>residual maturity &gt; 3 years and ≤ 4 years</t>
  </si>
  <si>
    <t>residual maturity &gt; 2 years and ≤ 3 years</t>
  </si>
  <si>
    <t>residual maturity &gt; 1 year and  ≤ 2 years</t>
  </si>
  <si>
    <t>T1.3.6</t>
  </si>
  <si>
    <t>Other T2 instruments, with PONV feature / breakdown of maturities (only eligible as gone concern capital instruments)</t>
  </si>
  <si>
    <t>pro memoria: amount available for absorbance of deductions</t>
  </si>
  <si>
    <t>Other T2 instruments, without PONV feature / breakdown of maturities (only eligible as gone concern capital instruments)</t>
  </si>
  <si>
    <t>T1.3.7.13</t>
  </si>
  <si>
    <t>Net CET1 capital, after partial deduction of direct and indirect investments in holdings which are to be consolidated and after allocation of CET1 to cover gone concern requirements</t>
  </si>
  <si>
    <t>net AT1 capital, after all deductions and after allocation of AT1 to cover gone concern requirements</t>
  </si>
  <si>
    <t>Of which AT1 high trigger</t>
  </si>
  <si>
    <t>Of which AT1 low trigger</t>
  </si>
  <si>
    <t>T1.6.11</t>
  </si>
  <si>
    <t>2.1.1.1.7.1</t>
  </si>
  <si>
    <t>2.1.1.1.7.2</t>
  </si>
  <si>
    <t>2.1.1.1.7.3</t>
  </si>
  <si>
    <t>2.1.1.1.7.4</t>
  </si>
  <si>
    <t>Base requirement</t>
  </si>
  <si>
    <t>Add-on based on leverage ratio exposure</t>
  </si>
  <si>
    <t>Add-on based on market share</t>
  </si>
  <si>
    <t>Minimum plus buffer requirement (before add-ons for countercyclical capital buffer and Pillar II)</t>
  </si>
  <si>
    <t>Of which: minimum requirement</t>
  </si>
  <si>
    <t>Of which: buffer requirement</t>
  </si>
  <si>
    <t>Of which: CET1 requirement</t>
  </si>
  <si>
    <t>Of which: HT CoCo requirement</t>
  </si>
  <si>
    <t>Total Capital Requirement</t>
  </si>
  <si>
    <t>Of which: increment for Pillar 2 add-on</t>
  </si>
  <si>
    <t>Of which in form of CET1</t>
  </si>
  <si>
    <t>Of which in form of HT CoCo</t>
  </si>
  <si>
    <t>to be met by CET1</t>
  </si>
  <si>
    <r>
      <t>CET1 required in application of</t>
    </r>
    <r>
      <rPr>
        <sz val="10"/>
        <color indexed="8"/>
        <rFont val="Arial"/>
        <family val="2"/>
      </rPr>
      <t xml:space="preserve"> extended countercyclical buffer (foreign exposures) (art. 44a Capital Ordinance)</t>
    </r>
  </si>
  <si>
    <t>In form of CET1</t>
  </si>
  <si>
    <r>
      <t xml:space="preserve">Specific additional requirements pursuant to art. </t>
    </r>
    <r>
      <rPr>
        <sz val="10"/>
        <color indexed="8"/>
        <rFont val="Arial"/>
        <family val="2"/>
      </rPr>
      <t>45 and 131b Capital Ordinance</t>
    </r>
  </si>
  <si>
    <t>To cover risk concentrations</t>
  </si>
  <si>
    <t>To cover risk management issues</t>
  </si>
  <si>
    <t>To cover refinancing or liquidity risks</t>
  </si>
  <si>
    <t>To cover complex and intransparent structures of financial groups</t>
  </si>
  <si>
    <t>To cover other issues</t>
  </si>
  <si>
    <t>Going Concern Requirements</t>
  </si>
  <si>
    <t>RWA-based Requirements</t>
  </si>
  <si>
    <t>LRD-based Requirements</t>
  </si>
  <si>
    <t>CET1 Requirement (maximum of RWA- and LRD-based CET1 amounts)</t>
  </si>
  <si>
    <t>HT CoCo Requirement (maximum of total RWA- or LRD-based amount minus max. CET1 requirement of above)</t>
  </si>
  <si>
    <t>T4.1.1.2.4</t>
  </si>
  <si>
    <t>T4.2.1.1.6</t>
  </si>
  <si>
    <t>T4.2.1.2.4</t>
  </si>
  <si>
    <t>(1)</t>
  </si>
  <si>
    <t>CSIB_SR</t>
  </si>
  <si>
    <t>= CSIB_CRSABIS_01..07 [07/18]</t>
  </si>
  <si>
    <t>= CSIB_CRSABIS_01..07 [20/18]</t>
  </si>
  <si>
    <t>= CSIB_CRSABIS_01..07 [14/18]</t>
  </si>
  <si>
    <t>= CSIB_CRSABIS_01..07 [15+17/18]</t>
  </si>
  <si>
    <t>= CSIB_CRSABIS_01 [01/18]</t>
  </si>
  <si>
    <t>= CSIB_CRSABIS_02 [01/18]</t>
  </si>
  <si>
    <t>= CSIB_CRSABIS_03 [01/18]</t>
  </si>
  <si>
    <t>= CSIB_CRSABIS_04 [01/18]</t>
  </si>
  <si>
    <t>= CSIB_CRSABIS_05 [01/18]</t>
  </si>
  <si>
    <t>= CSIB_CRSABIS_06 [01/18]</t>
  </si>
  <si>
    <t>= CSIB_CRSABIS_07 [01/18]</t>
  </si>
  <si>
    <t>= CSIB_MKR_BIS [82/03]</t>
  </si>
  <si>
    <t>= CSIB_MKR_BIS [27/03]</t>
  </si>
  <si>
    <t>= CSIB_MKR_BIS [31/03]</t>
  </si>
  <si>
    <t>= CSIB_MKR_BIS [33/03]</t>
  </si>
  <si>
    <t>= CSIB_MKR_BIS [01/03]</t>
  </si>
  <si>
    <t>= CSIB_MKR_BIS [02/03]</t>
  </si>
  <si>
    <t>= CSIB_MKR_BIS [89 + 90/03]</t>
  </si>
  <si>
    <t>= CSIB_MKR_BIS [39/03]</t>
  </si>
  <si>
    <t>= CSIB_MKR_BIS [45 + 51/03]</t>
  </si>
  <si>
    <t>= CSIB_MKR_BIS [57/03]</t>
  </si>
  <si>
    <t>= CSIB_MKR_BIS [75/03]</t>
  </si>
  <si>
    <t xml:space="preserve">      (+) Adjustments of CET1 on systemically relevant banking group</t>
  </si>
  <si>
    <t xml:space="preserve">      = Net CET1 capital, before adjustments for direct and indirect investments in holdings which are to be consolidated</t>
  </si>
  <si>
    <t>Gross amount of grandfathered CET1 capital instruments issued by the parent company</t>
  </si>
  <si>
    <t xml:space="preserve">Gross amount of CET1 capital instruments (grandfathered) issued by banking subsidiaries, owned by minority interests </t>
  </si>
  <si>
    <t>Basel III leverage ratio</t>
  </si>
  <si>
    <t>Tier 1 capital</t>
  </si>
  <si>
    <t>(-) Adjustments for conversion to credit equivalent amounts</t>
  </si>
  <si>
    <t>(+) Off-balance sheet exposure at gross notional amount before any adjustment for credit conversion factors</t>
  </si>
  <si>
    <t>Other off-balance sheet exposures</t>
  </si>
  <si>
    <t>2.4</t>
  </si>
  <si>
    <t>(+) Agent transaction exposures</t>
  </si>
  <si>
    <t>2.3.4</t>
  </si>
  <si>
    <t>(+) Counterparty credit risk exposure for SFT assets</t>
  </si>
  <si>
    <t>2.3.3</t>
  </si>
  <si>
    <t>(-) Netted amounts of cash payables and cash receivables of gross SFT assets</t>
  </si>
  <si>
    <t>(+) Gross SFT assets</t>
  </si>
  <si>
    <t>Securities financing transaction exposures</t>
  </si>
  <si>
    <t>2.3</t>
  </si>
  <si>
    <t>(-) Adjusted effective notional offsets and add-on deductions for written credit derivatives</t>
  </si>
  <si>
    <t>2.2.7</t>
  </si>
  <si>
    <t>(+) Adjusted effective notional amount of all written credit derivatives</t>
  </si>
  <si>
    <t>2.2.6</t>
  </si>
  <si>
    <t>(-) Exempted CCP leg of client-cleared trade exposures</t>
  </si>
  <si>
    <t>2.2.5</t>
  </si>
  <si>
    <t>(-) Deductions of receivables assets for cash variation margin provided</t>
  </si>
  <si>
    <t>2.2.4</t>
  </si>
  <si>
    <t xml:space="preserve">(+) Gross-up for derivatives collateral provided where deducted from the balance sheet </t>
  </si>
  <si>
    <t>2.2.3</t>
  </si>
  <si>
    <t>Derivative Exposures</t>
  </si>
  <si>
    <t>2.2</t>
  </si>
  <si>
    <t>(-) Asset amounts deducted from Basel III Tier 1 capital</t>
  </si>
  <si>
    <t>2.1.2</t>
  </si>
  <si>
    <t>(+) On-balance sheet items excluding derivatives and SFTs</t>
  </si>
  <si>
    <t>2.1.1</t>
  </si>
  <si>
    <t>On-balance sheet exposures</t>
  </si>
  <si>
    <t xml:space="preserve">Leverage ratio exposure </t>
  </si>
  <si>
    <t>(+/-) Other adjustments</t>
  </si>
  <si>
    <t>1.7</t>
  </si>
  <si>
    <t>(+) Adjustments for off-balance sheet items</t>
  </si>
  <si>
    <t>1.6</t>
  </si>
  <si>
    <t>(+/-) Adjustments for SFTs</t>
  </si>
  <si>
    <t>1.5</t>
  </si>
  <si>
    <t>(+/-) Adjustments for derivatives</t>
  </si>
  <si>
    <t>1.4</t>
  </si>
  <si>
    <t>(-) Adjustment for fiduciary assets</t>
  </si>
  <si>
    <t xml:space="preserve">(-) Adjustment for capital deductions and entities that are outside the scope of regulatory consolidation </t>
  </si>
  <si>
    <t>1.2</t>
  </si>
  <si>
    <t>(+) Total consolidated assets as per published financial statements</t>
  </si>
  <si>
    <t>1.1</t>
  </si>
  <si>
    <t>Leverage ratio exposure (comparison with accounting assets)</t>
  </si>
  <si>
    <t>Checks:</t>
  </si>
  <si>
    <t>CSIB_LERA_BIS</t>
  </si>
  <si>
    <t>SNB code</t>
  </si>
  <si>
    <t>new row</t>
  </si>
  <si>
    <t>not processed</t>
  </si>
  <si>
    <t>must not be delivered in xml</t>
  </si>
  <si>
    <t>(–) Pro memoria item: adjustments according to 1.1.2.11.2 until 1.1.2.11.A allocated to AT1/high trigger instruments</t>
  </si>
  <si>
    <t>(–) Pro memoria item: adjustments according to 1.1.2.11.2 until 1.1.2.11.A allocated to AT1/low trigger instruments</t>
  </si>
  <si>
    <t>(–) Pro memoria item: adjustments according to 1.1.2.11.2 until 1.1.2.11.A allocated to T2/high trigger instruments</t>
  </si>
  <si>
    <t>(–) Pro memoria item: adjustments according to 1.1.2.11.2 until 1.1.2.11.A allocated to T2/low trigger instruments</t>
  </si>
  <si>
    <t>T1.2</t>
  </si>
  <si>
    <t>Direct and indirect investments</t>
  </si>
  <si>
    <t>With a risk weight of 35%</t>
  </si>
  <si>
    <t>With a risk weight of 75%</t>
  </si>
  <si>
    <t>With a risk weight of 100%</t>
  </si>
  <si>
    <t>T3.2.1.5.4</t>
  </si>
  <si>
    <t>Please enter SNB code</t>
  </si>
  <si>
    <t>=CSIB_LERA_BIS [42/1]</t>
  </si>
  <si>
    <t>= CSIB_MKR_BIS [24/03]</t>
  </si>
  <si>
    <t>DD.MM.YYYY</t>
  </si>
  <si>
    <t>RWA (all figures in %)</t>
  </si>
  <si>
    <t>LR (all figures in %)</t>
  </si>
  <si>
    <t>Gone Concern (all figures in %)</t>
  </si>
  <si>
    <t>Laupenstrasse 27</t>
  </si>
  <si>
    <t>Equity investments in funds</t>
  </si>
  <si>
    <t>Number of funds</t>
  </si>
  <si>
    <t>Credit equivalent for CCR of SFT</t>
  </si>
  <si>
    <t>Credit equivalent for CCR of derivatives</t>
  </si>
  <si>
    <t>Risk weighted exposure amount for CCR of SFT and derivatives (incl. CVA)</t>
  </si>
  <si>
    <t>Total (net) exposure before risk weighting</t>
  </si>
  <si>
    <t>Risk weighted exposure amount</t>
  </si>
  <si>
    <t>Capital requirements (without multiplications)</t>
  </si>
  <si>
    <t>Look through Approach (LTA)</t>
  </si>
  <si>
    <t>all funds under LTA</t>
  </si>
  <si>
    <t>of which: funds under LTA managed by the bank itself</t>
  </si>
  <si>
    <t>Mandate based Approach (MBA)</t>
  </si>
  <si>
    <t>all funds under MBA</t>
  </si>
  <si>
    <t>of which: funds under MBA managed by the bank itself</t>
  </si>
  <si>
    <t>Fallback Approach (FBA, 1250%)</t>
  </si>
  <si>
    <t>all funds under FBA</t>
  </si>
  <si>
    <t>of which: funds under FBA managed  by the bank itself</t>
  </si>
  <si>
    <t>of which: funds managed  by the bank itself</t>
  </si>
  <si>
    <t>LTA Exposure by risk weight applied</t>
  </si>
  <si>
    <t>Risk weight is &gt;625% and &lt;=1250%</t>
  </si>
  <si>
    <t>Risk weight is &gt;250% and &lt;=625%</t>
  </si>
  <si>
    <t>Risk weight is &gt;100% and &lt;=250%</t>
  </si>
  <si>
    <t>Risk weight is &gt;50% and &lt;=100%</t>
  </si>
  <si>
    <t>Risk weight is &lt;=50%</t>
  </si>
  <si>
    <t>MBA Exposure by risk weight applied</t>
  </si>
  <si>
    <t>Simplified Approach</t>
  </si>
  <si>
    <t>250% risk weight</t>
  </si>
  <si>
    <t>of which: having synthetic risk indicator value of 1</t>
  </si>
  <si>
    <t>of which: having synthetic risk indicator value of 2</t>
  </si>
  <si>
    <t>of which: having synthetic risk indicator value of 3</t>
  </si>
  <si>
    <t>of which: having synthetic risk indicator value of 4</t>
  </si>
  <si>
    <t>Credit, counterparty credit and delivery risks: 
Systemically important banks (SIB)</t>
  </si>
  <si>
    <t>CSIB_CRFUNDS</t>
  </si>
  <si>
    <t>Leverage Ratio and Calculation of Total Exposure for the Leverage Ratio
Systemically important banks (SIB)</t>
  </si>
  <si>
    <t>2.1.7</t>
  </si>
  <si>
    <t>Securitisation exposures in the banking book</t>
  </si>
  <si>
    <t>2.1.7.1</t>
  </si>
  <si>
    <t>2.1.7.2</t>
  </si>
  <si>
    <t>Securitisation external ratings-based approach (SEC-ERBA), including internal assessment approach (IAA)</t>
  </si>
  <si>
    <t>2.1.7.3</t>
  </si>
  <si>
    <t>Securitisation standardised approach (SEC-SA)</t>
  </si>
  <si>
    <t>2.1.7.4</t>
  </si>
  <si>
    <t>1250% risk weighting</t>
  </si>
  <si>
    <t>=CSIB_SR:CSIB_CRSEC[01+18/14]</t>
  </si>
  <si>
    <t>=CSIB_SR:CSIB_CRSEC[01+18/15]</t>
  </si>
  <si>
    <t>=CSIB_SR:CSIB_CRSEC[01+18/16]</t>
  </si>
  <si>
    <t>=CSIB_SR:CSIB_CRSEC[01+18/17]</t>
  </si>
  <si>
    <t>CSIB_CASABISIRB[602/01]</t>
  </si>
  <si>
    <t>CSIB_CASABISIRB[603/01]</t>
  </si>
  <si>
    <t>CSIB_CASABISIRB[604/01]</t>
  </si>
  <si>
    <t>CSIB_CASABISIRB[605/01]</t>
  </si>
  <si>
    <t>CSIB_CRSEC[01+18/14]</t>
  </si>
  <si>
    <t>CSIB_CRSEC[01+18/15]</t>
  </si>
  <si>
    <t>CSIB_CRSEC[01+18/16]</t>
  </si>
  <si>
    <t>CSIB_CRSEC[01+18/17]</t>
  </si>
  <si>
    <t>Securitisation internal ratings-based approach (SEC-IRBA)</t>
  </si>
  <si>
    <t>1.1.1.4</t>
  </si>
  <si>
    <t xml:space="preserve">   (+/–) Adjustment to own shares held in and off the trading book and contracts on own shares that are to be posted in equity</t>
  </si>
  <si>
    <t xml:space="preserve">         (–) Reversal of positive valuation differences in FVTOCI equities</t>
  </si>
  <si>
    <t xml:space="preserve">         (–) Reversal of positive valuation differences in FVTOCI debt securities</t>
  </si>
  <si>
    <t xml:space="preserve">         (–) Reversal of positive valuation differences in other FVTOCI assets</t>
  </si>
  <si>
    <t>1.1.1.9.7.20</t>
  </si>
  <si>
    <t xml:space="preserve">         (+) Add-back of the effect of expected credit loss during the transition period</t>
  </si>
  <si>
    <t xml:space="preserve">   General adjustments without holdings 
     (arts. 31-34 and art. 36 Capital Ordinance)</t>
  </si>
  <si>
    <t>1.1.1.11.22</t>
  </si>
  <si>
    <t xml:space="preserve">      (–) EL amount for equity exposures under the PD/LGD approach</t>
  </si>
  <si>
    <t xml:space="preserve">      (–) Value adjustments due to the requirement for prudent valuation, gross amount
      (FINMA-Circ. 17/7, margin no. 486, FINMA-Circ. 08/20, margin nos. 32-48)</t>
  </si>
  <si>
    <t xml:space="preserve">1.1.1.30
</t>
  </si>
  <si>
    <t xml:space="preserve">   (–) Other qualifying holdings in financial sector, gross amount to deduct from CET1, according to threshold 3 
   (art. 40 Capital Ordinance)</t>
  </si>
  <si>
    <t xml:space="preserve">   (–) Mortgage servicing rights, gross amount to deduct from CET1, according to threshold 3
   (art. 40 Capital Ordinance)</t>
  </si>
  <si>
    <t xml:space="preserve">   (–) Other deferred tax assets, gross amount to deduct from CET1, according to threshold 3
   (art. 40 Capital Ordinance)</t>
  </si>
  <si>
    <t>Eligible additional Tier 1 capital (TBTF AT1)
(arts. 131 &amp; 148b Capital Ordinance)</t>
  </si>
  <si>
    <t>= AT1 capital (TBTF regime), before deductions</t>
  </si>
  <si>
    <t>AT1 / low trigger (eligible until first call date as TBTF additional tier 1 capital)</t>
  </si>
  <si>
    <t>T2 / high trigger (eligible until the later of maturity or of 1st call date or 31 Dec. 2019  as TBTF additional tier 1 capital)</t>
  </si>
  <si>
    <t>Remaining amount after second and fourth group of deductions</t>
  </si>
  <si>
    <t>Pro memoria item: sum of regulatory capital (CET1 + AT1) + amount available for absorbance of deductions, before adjustments in direct and indirect investments in holding which are to be consolidated</t>
  </si>
  <si>
    <t>(–) holding of bail-in instruments issued by third parties</t>
  </si>
  <si>
    <t>1.2.31.12</t>
  </si>
  <si>
    <t>1.2.31.12.01</t>
  </si>
  <si>
    <t>Eligibility of capital under the TBTF regime (without bail-in), without taking into account the capital required to cover excess on limits for participations</t>
  </si>
  <si>
    <t>Gross CET1 capital, before adjustments for direct and indirect investments in holdings which are to be consolidated (= T1.1.1.34.5)</t>
  </si>
  <si>
    <t>T1.7</t>
  </si>
  <si>
    <t>Eligibility of capital under the TBTF regime, taking into account the capital required to cover excess on limits for participations</t>
  </si>
  <si>
    <t>(–) CET1 capital required to cover excess on limits for participations</t>
  </si>
  <si>
    <t xml:space="preserve">T1.7.8
</t>
  </si>
  <si>
    <r>
      <t xml:space="preserve">         Subtotal of the minimum capital requirements for asset classes under the A-IRB, </t>
    </r>
    <r>
      <rPr>
        <b/>
        <sz val="10"/>
        <rFont val="Arial"/>
        <family val="2"/>
      </rPr>
      <t xml:space="preserve">before IRB scaling factor </t>
    </r>
    <r>
      <rPr>
        <sz val="10"/>
        <rFont val="Arial"/>
        <family val="2"/>
      </rPr>
      <t xml:space="preserve">
         (without securitisation exposures)</t>
    </r>
  </si>
  <si>
    <t>Items not deducted in application of threshold 3, but risk-weighted with 250%: minimum capital requirements
(art. 40 Capital Ordinance)</t>
  </si>
  <si>
    <t>2.9.1</t>
  </si>
  <si>
    <t>250% risk-weighted (Swiss entities)</t>
  </si>
  <si>
    <t>2.9.2</t>
  </si>
  <si>
    <t>400% risk-weighted (foreign entities)</t>
  </si>
  <si>
    <t>2.9.3</t>
  </si>
  <si>
    <t>2.10.1</t>
  </si>
  <si>
    <t>Crypto assets</t>
  </si>
  <si>
    <t>2.10.2</t>
  </si>
  <si>
    <t>2.10.3</t>
  </si>
  <si>
    <t>Other capital requirements</t>
  </si>
  <si>
    <t>T3.01</t>
  </si>
  <si>
    <t>Is the bank a G-SIB or a D-SIB? (G-SIB = 1; D-SIB = 2)</t>
  </si>
  <si>
    <t>T3.03</t>
  </si>
  <si>
    <t xml:space="preserve">Add-ons for RWA Requirements </t>
  </si>
  <si>
    <t>T3.03.1</t>
  </si>
  <si>
    <t>T3.03.2</t>
  </si>
  <si>
    <t>T3.04</t>
  </si>
  <si>
    <t xml:space="preserve">Add-ons for Leverage Ratio Requirements </t>
  </si>
  <si>
    <t>T3.04.1</t>
  </si>
  <si>
    <t>T3.04.2</t>
  </si>
  <si>
    <t>T3.1.2.4.3</t>
  </si>
  <si>
    <t>Of which: increment for Pillar 1 add-on (not affecting LRD)</t>
  </si>
  <si>
    <t>T3.1.2.4.4</t>
  </si>
  <si>
    <t>T3.1.2.4.4.1</t>
  </si>
  <si>
    <t>T3.1.2.4.4.2</t>
  </si>
  <si>
    <t>(–) Reduction for CET1 or CoCos</t>
  </si>
  <si>
    <t>T3.1.3.7.1</t>
  </si>
  <si>
    <t>T3.1.3.7.2</t>
  </si>
  <si>
    <t>T3.1.4.7.1</t>
  </si>
  <si>
    <t>T3.1.4.7.2</t>
  </si>
  <si>
    <t>available CET1 to meet CET1 going concern requirement</t>
  </si>
  <si>
    <t>CET1 used to meet HT CoCo going concern requirement</t>
  </si>
  <si>
    <t>available AT1 HT CoCo to meet HT CoCo going concern requirement</t>
  </si>
  <si>
    <t>available AT1 LT CoCo to meet HT CoCo going concern requirement</t>
  </si>
  <si>
    <t>to be met by CET1 (at least 4.5% RWA)</t>
  </si>
  <si>
    <t>to be met by CET1 or HT CoCos (at most 3.5% RWA)</t>
  </si>
  <si>
    <t>to be met by CET1 or HT CoCos (at most 0.8% RWA)</t>
  </si>
  <si>
    <t>In form of AT1 HT CoCo (as well as other capital instruments recognised as such during the transition period)</t>
  </si>
  <si>
    <t>In form of AT1 HT CoCo (as well as other capital instruments recognised as AT1 during the transition period)</t>
  </si>
  <si>
    <t>(–) In form of HT CoCo</t>
  </si>
  <si>
    <t>to be met by CET1 (at least 1.5% LRD)</t>
  </si>
  <si>
    <t>to be met by CET1 or HT CoCos (at most 1.5% LRD)</t>
  </si>
  <si>
    <t>T3.2.2.5</t>
  </si>
  <si>
    <t>1387</t>
  </si>
  <si>
    <t>T3.2.2.5.1</t>
  </si>
  <si>
    <t>1388</t>
  </si>
  <si>
    <t>T3.2.2.5.1.1</t>
  </si>
  <si>
    <t>1389</t>
  </si>
  <si>
    <t>T3.2.2.5.1.2</t>
  </si>
  <si>
    <t>1390</t>
  </si>
  <si>
    <t>T3.2.2.5.2</t>
  </si>
  <si>
    <t>Specific additional requirements pursuant to art. 45 and 131b Capital Ordinance</t>
  </si>
  <si>
    <t>1391</t>
  </si>
  <si>
    <t>T3.2.2.5.2.1</t>
  </si>
  <si>
    <t>1392</t>
  </si>
  <si>
    <t>T3.2.2.5.2.2</t>
  </si>
  <si>
    <t>1393</t>
  </si>
  <si>
    <t>T3.2.2.5.2.3</t>
  </si>
  <si>
    <t>1394</t>
  </si>
  <si>
    <t>T3.2.2.5.2.4</t>
  </si>
  <si>
    <t>1395</t>
  </si>
  <si>
    <t>T3.2.2.5.2.5</t>
  </si>
  <si>
    <t>1396</t>
  </si>
  <si>
    <t>T3.2.2.5.2.6</t>
  </si>
  <si>
    <t>1397</t>
  </si>
  <si>
    <t>T3.2.2.5.2.7</t>
  </si>
  <si>
    <t>1398</t>
  </si>
  <si>
    <t>T3.2.2.6</t>
  </si>
  <si>
    <t>1399</t>
  </si>
  <si>
    <t>T3.2.2.6.1</t>
  </si>
  <si>
    <t>1400</t>
  </si>
  <si>
    <t>T3.2.2.6.2</t>
  </si>
  <si>
    <t>1401</t>
  </si>
  <si>
    <t>Available going and gone concern instruments (incl. cantonal guarantees) to meet gone concern requirements</t>
  </si>
  <si>
    <t>Available gone concern instruments</t>
  </si>
  <si>
    <t>T3.2.3.4</t>
  </si>
  <si>
    <t>Available explicit cantonal guarantees or similar mechanism</t>
  </si>
  <si>
    <t>Available going concern instruments</t>
  </si>
  <si>
    <t>T3.2.4.4</t>
  </si>
  <si>
    <t>Available going concern capital to meet going concern requirements</t>
  </si>
  <si>
    <t>T3.2.5.2.5</t>
  </si>
  <si>
    <t>T3.2.5.2.6</t>
  </si>
  <si>
    <t>T3.2.5.2.6.1</t>
  </si>
  <si>
    <t>T3.2.5.2.6.2</t>
  </si>
  <si>
    <t>T3.2.5.2.6.3</t>
  </si>
  <si>
    <t>T3.2.5.2.6.4</t>
  </si>
  <si>
    <t>T3.2.5.2.6.5</t>
  </si>
  <si>
    <t>T3.2.5.2.7</t>
  </si>
  <si>
    <t>T3.2.5.2.8</t>
  </si>
  <si>
    <t>Available going and gone concern instruments (incl. cantonal guarantees) to meet RWA requirements</t>
  </si>
  <si>
    <t>Available going and gone concern instruments (incl. cantonal guarantees) to meet LR requirements</t>
  </si>
  <si>
    <t>CET1 Ratio excluding CET1 used to cover HT CoCo requirements and excess on limits for participations</t>
  </si>
  <si>
    <t>Total RWA-Ratio Requirement (ie TLAC + Buffers)</t>
  </si>
  <si>
    <t>Total LR-Ratio Requirement (ie TLAC + Buffers)</t>
  </si>
  <si>
    <t xml:space="preserve">
T4.2
</t>
  </si>
  <si>
    <t>Capital required to cover excess on limits for participations</t>
  </si>
  <si>
    <t>all funds under simplified approach with 250%</t>
  </si>
  <si>
    <t>all funds under simplified approach with 400%</t>
  </si>
  <si>
    <t>of which: having synthetic risk indicator value of 5</t>
  </si>
  <si>
    <t xml:space="preserve">of which: having synthetic risk indicator value of 6 </t>
  </si>
  <si>
    <t xml:space="preserve">of which: having synthetic risk indicator value of 7 </t>
  </si>
  <si>
    <t>400% risk weight</t>
  </si>
  <si>
    <t>1.01.E0</t>
  </si>
  <si>
    <t>(+) Replacement cost associated with all derivatives transactions (where applicable net of eligible cash variation margin and/or bilateral netting) (NB: multiplied by alpha scalar under SA-CCR)</t>
  </si>
  <si>
    <t>(+) Add-on amounts / PFE associated with all derivatives transactions 
(NB: multiplied by alpha scalar under SA-CCR)</t>
  </si>
  <si>
    <t xml:space="preserve">   (+) RWA-adjustments of participations on systemically relevant solo entity (art. 125 Capital Ordinance)</t>
  </si>
  <si>
    <t>Floor adjustment IRB / AMA</t>
  </si>
  <si>
    <t>T1.1.1.1.B</t>
  </si>
  <si>
    <t xml:space="preserve">   (+/–) Adjustments as per FINMA instruction</t>
  </si>
  <si>
    <t xml:space="preserve">   (–) Equity items which are not eligible (fully or partially) as CET1
   (art. 20 para. 2 Capital Ordinance)</t>
  </si>
  <si>
    <t xml:space="preserve">      Paid up capital, issued by the parent company
      (art. 21 para. 1 litt. a Capital Ordinance, arts. 22-26 Capital Ordinance)</t>
  </si>
  <si>
    <t xml:space="preserve">      Assets of partners with unlimited liability, which are eligible as CET1
      (art. 21 para. 1 litt. a Capital Ordinance, art. 25 Capital Ordinance, art. 22 para. 2 litt. a Stock Exchanges and Securities Trading Ordinance)</t>
  </si>
  <si>
    <t xml:space="preserve">      Bank guarantee or cash amount blocked for securities dealers
      (art. 22 para. 4 and 5 Stock Exchanges and Securities Trading Ordinance, subject to approval of the supervisory authority)</t>
  </si>
  <si>
    <t xml:space="preserve">      Share premium reserves and retained earnings reserves
      (art. 21 para. 1 litt. b Capital Ordinance)</t>
  </si>
  <si>
    <t xml:space="preserve">      Foreign exchange reserves (+/–)
      (art. 21 para. 1 litt. b Capital Ordinance)</t>
  </si>
  <si>
    <t xml:space="preserve">      Reserves for general banking risks
      (art. 21 para. 1 litt. c Capital Ordinance)</t>
  </si>
  <si>
    <t xml:space="preserve">      Other reserves / accumulated other comprehensive income (+/–)
      (art. 21 para. 1 litt. b Capital Ordinance)</t>
  </si>
  <si>
    <t xml:space="preserve">      Profit (+) or loss (–) carried forward / group profit or loss
      (art. 21 para. 1 litt. d Capital Ordinance, art. 32 litt. a Capital Ordinance)</t>
  </si>
  <si>
    <t xml:space="preserve">      Interim profit (+) or loss (–) for the current financial year
      (art. 21 para. 1 litt. e Capital Ordinance, art. 32 litt. a Capital Ordinance)</t>
  </si>
  <si>
    <t xml:space="preserve">      (+) Instruments issued by banking subsidiaries, recognised in CET1, fully eligible
      (art. 21 para. 2 Capital Ordinance)</t>
  </si>
  <si>
    <t xml:space="preserve">      (+) Instruments issued by banking subsidiaries, recognised in CET1, partially eligible
      (art. 21 para. 2 Capital Ordinance)</t>
  </si>
  <si>
    <t xml:space="preserve">      (–) Unfunded valuation adjustments or provisions required for the current financial year
      (art. 32 litt. b Capital Ordinance)</t>
  </si>
  <si>
    <t xml:space="preserve">      (–) Deferred tax liabilities on reserves for general banking risks (if any)
      (art. 21 para. 1 litt. b Capital Ordinance)</t>
  </si>
  <si>
    <t xml:space="preserve">      Adjustments for banks using recognised international accounting standards
      (art. 31 para. 3 Capital Ordinance, FINMA-Circ. 13/1)</t>
  </si>
  <si>
    <t xml:space="preserve">      (–) Gross amount of own CET1 instruments
      (art. 32 litt. h Capital Ordinance)</t>
  </si>
  <si>
    <t xml:space="preserve">      (–) Goodwill, gross amount
      (art. 32 litt. c Capital Ordinance)</t>
  </si>
  <si>
    <t xml:space="preserve">      (–) Other intangible assets, gross amount
      (art. 32 litt. c Capital Ordinance)</t>
  </si>
  <si>
    <t xml:space="preserve">      (–) Deferred tax assets that rely on future profitability, gross amount
      (art. 32 litt. d Capital Ordinance)</t>
  </si>
  <si>
    <t xml:space="preserve">      (–) IRB shortfall of provisions to expected losses, gross amount
      (art. 32 litt. e Capital Ordinance)</t>
  </si>
  <si>
    <t xml:space="preserve">      (–) Defined benefit pension fund assets, gross amount
      (art. 32 litt. g Capital Ordinance)</t>
  </si>
  <si>
    <t xml:space="preserve">      (–) Gains on sales related to securitisation transactions, gross amount
      (art. 32 litt. f Capital Ordinance)</t>
  </si>
  <si>
    <t xml:space="preserve">      (–) Deduction of debit valuation adjustments (DVA) for derivatives, gross amount (art. 31 litt. a Capital Ordinance)</t>
  </si>
  <si>
    <t xml:space="preserve">   (–) Deduction for reciprocal cross-holdings, gross amount
   (art. 32 litt. i Capital Ordinance)</t>
  </si>
  <si>
    <t xml:space="preserve">   (–) Deduction for holdings for which a deduction treatment has been chosen, gross amount
   (art. 32 litt. k Capital Ordinance)</t>
  </si>
  <si>
    <t xml:space="preserve">   = Equity after general adjustments and holdings deducted in application of art. 32 litt. i and k 
   (basis for calculation of threshold 1, see art. 35 para. 2 Capital Ordinance)</t>
  </si>
  <si>
    <t xml:space="preserve">   (–) Holding in companies which are to be consolidated, gross amount, without the holdings subject to the special treatment
   (art. 32 litt. j Capital Ordinance)</t>
  </si>
  <si>
    <t xml:space="preserve">   = Equity after general adjustments, reciprocal cross-holding, participations and non-qualifying holdings in financial sector 
   (basis for calculation of threshold 2, see art. 35 para. 3 Capital Ordinance)</t>
  </si>
  <si>
    <t xml:space="preserve">   = Equity before threshold 3 and final adjustments (basis for calculation of threshold 3, see art. 35 para. 4 Capital Ordinance)</t>
  </si>
  <si>
    <t xml:space="preserve">      (–) Excess of deductions from AT1 items over AT1 capital second and third group of deductions
      (art. 33 para. 2 Capital Ordinance)</t>
  </si>
  <si>
    <t xml:space="preserve">      (–) Other specific deductions from CET1 
      (art. 4 para. 3 Banking Act)</t>
  </si>
  <si>
    <t xml:space="preserve">      (–) Excess of deductions from AT1 items over AT1 capital related to direct and indirect investments in holdings which are to be consolidated
      fourth deduction (art. 33 para. 2 Capital Ordinance)</t>
  </si>
  <si>
    <t>(+) Paid up capital instruments, having the form of AT1/low trigger issued by the parent company and other group entities (majority interests), 
eligible until first call date (art. 148b para. 1 litt. b)</t>
  </si>
  <si>
    <t>T1.1.2.10.3</t>
  </si>
  <si>
    <t>AT1 capital (ineligible for TBTF going-concern ratios, but eligible for absorbance of deductions or gone-concern use)</t>
  </si>
  <si>
    <t>T1.1.2.10.4</t>
  </si>
  <si>
    <t>Paid up capital instruments, having the form of AT1/low trigger issued by the parent company and other group entities (majority interests), 
ineligible after first call date, but not called (art. 148b para. 1 litt. d)</t>
  </si>
  <si>
    <t>T1.1.2.10.5</t>
  </si>
  <si>
    <t>(–) amount used to reduce gone-concern requirements and to meet these requirements</t>
  </si>
  <si>
    <t>T1.1.2.10.6</t>
  </si>
  <si>
    <t>Net AT1 capital (ineligible for TBTF going-concern ratios, but for absorbance of deductions)</t>
  </si>
  <si>
    <t>T1.1.2.10.7</t>
  </si>
  <si>
    <t>Tier 2 capital, before deductions</t>
  </si>
  <si>
    <t>T2/high trigger (parent company &amp; subsidiaries) (AT1 eligibility until end-2019 at the latest) (art. 148b para. 1 litt. a Capital Ordinance)</t>
  </si>
  <si>
    <t>T2/low trigger (parent company &amp; subsidiaries)  (AT1 eligibility before end-2019 at the latest) (art. 148b para. 2 litt. a Capital Ordinance)</t>
  </si>
  <si>
    <t>T1.1.2.I.A</t>
  </si>
  <si>
    <t>AT1/low trigger CoCo (ineligible for TBTF going-concern ratios after 2019, but for absorbance of deductions; Art. 148b para. 1 litt. d)</t>
  </si>
  <si>
    <t>Other former AT1 capital instruments (non CoCo), issued by the parent company and other group entities (majority interests)</t>
  </si>
  <si>
    <t>Other former AT1 capital instruments (non CoCo) related to minority interests issued by banking subsidiaries, net eligible amount in proportion to local capital needs</t>
  </si>
  <si>
    <t>T1.1.2.I.B</t>
  </si>
  <si>
    <t>Net amount of Tier 2/high trigger CoCos (expired AT1 egilibility, after amortisation mechanism)</t>
  </si>
  <si>
    <t>T1.1.2.I.C</t>
  </si>
  <si>
    <t>(–) amount used to reduce gone-concern requirements</t>
  </si>
  <si>
    <t>T1.1.2.I.D</t>
  </si>
  <si>
    <t>Net amount of Tier 2/low trigger CoCos (expired AT1 egilibility, after amortisation mechanism)</t>
  </si>
  <si>
    <t>T1.1.2.I.E</t>
  </si>
  <si>
    <t>(–) Own instruments
(art. 34 para. 1 Capital Ordinance) (preliminary deductions)</t>
  </si>
  <si>
    <t>T1.1.2.11.1.2.A</t>
  </si>
  <si>
    <t>(–) Own AT1/low trigger (ineligible for TBTF going-concern ratios, Art. 148b para 1. litt. d Capital Ordinance)</t>
  </si>
  <si>
    <t>(–) Own former AT1 capital instruments (non CoCo)</t>
  </si>
  <si>
    <t>T1.1.2.11.1.4</t>
  </si>
  <si>
    <t>AT1 / low trigger (ineligible for TBTF going-concern ratios, Art. 148b para 1. litt. d Capital Ordinance)</t>
  </si>
  <si>
    <t>former AT1 capital (non CoCo)</t>
  </si>
  <si>
    <t>(–) Reciprocal cross-holdings (without CoCo, see 1.1.2.11.A), gross amount to deduct from AT1 and from former T2
(art. 32 litt. i Capital Ordinance)</t>
  </si>
  <si>
    <t>(–) Holdings for which a deduction treatment has been chosen (without CoCo, see 1.1.2.11.A), gross amount to deduct from AT1 and from former T2
(art. 32 litt. k Capital Ordinance)</t>
  </si>
  <si>
    <t xml:space="preserve">(–) Holdings in companies which are to be consolidated (without CoCo, see 1.1.2.11.A), gross amount to deduct from AT1 and from former T2
(art. 32 litt. j Capital Ordinance) </t>
  </si>
  <si>
    <t>(–) Non-qualifying holdings in financial sector (without CoCo, see 1.1.2.11.A), gross amount to deduct from AT1 and from former T2
(art. 37 Capital Ordinance)</t>
  </si>
  <si>
    <t>(–) Other qualifying holdings in financial sector (without CoCo, see 1.1.2.11.A), gross amount to deduct from AT1 and from former T2
(arts. 38 and 40 Capital Ordinance)</t>
  </si>
  <si>
    <t>Holdings of CoCos art. 127a para. 4) (deduction not subject to any phase-in measures) (thresholds can be applied respectively for non-qualifiying holdings and other qualifying holdings)</t>
  </si>
  <si>
    <t xml:space="preserve">T1.1.2.13.2.A
</t>
  </si>
  <si>
    <t>(–) Pro memoria item: adjustments according to 1.1.2.11.2 until 1.1.2.11.A allocated to AT1/low trigger instruments (ineligible after transition period for TBTF ratios, Art. 148b para. 1 litt. d)</t>
  </si>
  <si>
    <t>(–) Pro memoria item: adjustments according to 1.1.2.11.2 until 1.1.2.11.A allocated to former AT1 instruments (non CoCo)</t>
  </si>
  <si>
    <t>(–) Pro memoria item: adjustments according to 1.1.2.11.2 until 1.1.2.11.A allocated to other T2 instruments with PONV feature (non CoCo)</t>
  </si>
  <si>
    <t>(–) Pro memoria item: adjustments according to 1.1.2.11.2 until 1.1.2.11.A allocated to other T2 instruments without PONV feature (non CoCo)</t>
  </si>
  <si>
    <t>(+) Pro memoria item: adjustments to allocate to CET 1 capital if the concerned capital quality is not available or insufficient</t>
  </si>
  <si>
    <t>T1.1.3.19.1</t>
  </si>
  <si>
    <t>Net AT1/low trigger (ineligible after transition period for TBTF ratios, Art. 148b para. 1 litt. d)</t>
  </si>
  <si>
    <t>(–) Deduction on AT1 capital related to direct and indirect investments in holding which are to be consolidated 
(fifth group of deductions)</t>
  </si>
  <si>
    <t>T1.1.3.19.9</t>
  </si>
  <si>
    <t>(–) of which allocated to AT1/low trigger capital (ineligible after transition period for TBTF ratios, Art. 148b para. 1 litt. d)</t>
  </si>
  <si>
    <t>(–) of which allocated to former AT1 capital (non CoCo)</t>
  </si>
  <si>
    <t>(–) of which allocated to other T2 capital with PONV feature (non CoCo)</t>
  </si>
  <si>
    <t>(–) of which allocated to other T2 capital without PONV feature (non CoCo)</t>
  </si>
  <si>
    <t>T1.1.3.20.3</t>
  </si>
  <si>
    <t>a) former AT1 instruments (non-CoCos)</t>
  </si>
  <si>
    <t>T1.1.3.20.G</t>
  </si>
  <si>
    <t>d) Tier 2 high trigger CoCos (considered AT1 until year-end 2019)</t>
  </si>
  <si>
    <t>T1.1.3.20.H</t>
  </si>
  <si>
    <t>e) Tier 2 low trigger CoCos (considered AT1 until year-end 2019)</t>
  </si>
  <si>
    <t>Determination of the amount which could be subject to the deduction approach (by FINMA)</t>
  </si>
  <si>
    <t>Determination of available gone concern funds (apart from regulatory capital with shrinking effect on gone-concern requirement)</t>
  </si>
  <si>
    <t>T2/high trigger not taken into account for deduction absorbance, because of amortisation mechanism</t>
  </si>
  <si>
    <t>T2/low trigger not taken into account for deduction absorbance, because of amortisation mechanism</t>
  </si>
  <si>
    <t>Amount of former AT1 instruments (non CoCo), amount not absorbed by deductions</t>
  </si>
  <si>
    <t>Other T2 instruments with PONV feature (non CoCo), amount not absorbed by deductions</t>
  </si>
  <si>
    <t>Other T2 instruments without PONV feature (non CoCo), amount not absorbed by deductions</t>
  </si>
  <si>
    <t xml:space="preserve">(–) ineligible as per FINMA instruction </t>
  </si>
  <si>
    <t>T1.2.31.A</t>
  </si>
  <si>
    <t>iGLAC</t>
  </si>
  <si>
    <t>T1.2.31.B</t>
  </si>
  <si>
    <t>(–) excess of cap for eligibility 25% Gone Concern</t>
  </si>
  <si>
    <t xml:space="preserve">= SUM of available gone-concern funds (apart from regulatory capital with shrinking effect on gone-goncern requirement) </t>
  </si>
  <si>
    <t xml:space="preserve">T1.3.4
</t>
  </si>
  <si>
    <t>Valid T2/high trigger instruments / breakdown of maturities (amounts available for absorbance of deductions, subject to decreasing recognition as T2 capital due to amortization mechanism during the last 5 years before maturity; otherwise eligible as gone-concern capital)</t>
  </si>
  <si>
    <t>pro memoria: residual maturity ≤ 1 year</t>
  </si>
  <si>
    <t>pro memoria: amount eligible as gone concern capital before limitation to instruments with residual maturity &gt; 1 year and  ≤ 2 years</t>
  </si>
  <si>
    <t xml:space="preserve">T1.3.5
</t>
  </si>
  <si>
    <t>Valid T2/low trigger instruments / breakdown of maturities (amounts available for absorbance of deductions, subject to decreasing recognition as T2 capital due to amortization mechanism during the last 5 years before maturity; otherwise eligible as gone-concern capital)</t>
  </si>
  <si>
    <t xml:space="preserve">T1.3.9
</t>
  </si>
  <si>
    <t>T1.3.9.1</t>
  </si>
  <si>
    <t>T1.3.9.2</t>
  </si>
  <si>
    <t>T1.3.9.3</t>
  </si>
  <si>
    <t>T1.3.9.4</t>
  </si>
  <si>
    <t>T1.3.9.5</t>
  </si>
  <si>
    <t>T1.3.9.6</t>
  </si>
  <si>
    <t>T1.3.9.7</t>
  </si>
  <si>
    <t>T1.3.9.8</t>
  </si>
  <si>
    <t>T1.3.9.9</t>
  </si>
  <si>
    <t>T1.3.9.10</t>
  </si>
  <si>
    <t>T1.3.9.11</t>
  </si>
  <si>
    <t>T1.3.9.12</t>
  </si>
  <si>
    <t>T1.6.C</t>
  </si>
  <si>
    <t>Tier 2 CoCos</t>
  </si>
  <si>
    <t>T1.6.C.1</t>
  </si>
  <si>
    <t>Tier 2 high trigger CoCos (considered AT1 until year-end 2019): amount used to cover gone-concern requirements</t>
  </si>
  <si>
    <t>T1.6.C.2</t>
  </si>
  <si>
    <t>Tier 2 low trigger CoCos (considered AT1 until year-end 2019): amount used to cover gone-concern requirements</t>
  </si>
  <si>
    <t>T1.6.C.3</t>
  </si>
  <si>
    <t>net Tier 2 capital to cover gone concern requirements</t>
  </si>
  <si>
    <t>Total capital available under the TBTF regime (net CET1 and net AT1) (going concern regime) (without deduction for capital required to cover excess on limits for participations)</t>
  </si>
  <si>
    <t>Remaining total capital available under the TBTF regime (net CET1 and net AT1) (going concern regime) (after deduction for capital required to cover excess on limits for participations)</t>
  </si>
  <si>
    <t>T2.A</t>
  </si>
  <si>
    <r>
      <t>(–) G-SIB Pare</t>
    </r>
    <r>
      <rPr>
        <sz val="10"/>
        <color theme="1"/>
        <rFont val="Arial"/>
        <family val="2"/>
      </rPr>
      <t>nt only: Correction due to iGLAC passed on to subsidiaries</t>
    </r>
    <r>
      <rPr>
        <sz val="10"/>
        <rFont val="Arial"/>
        <family val="2"/>
      </rPr>
      <t/>
    </r>
  </si>
  <si>
    <t>Of which mortgage loans (art. 63 para. 3 litt. c, annex 3, art. 72 Capital Ordinance):</t>
  </si>
  <si>
    <t>Of which: Past due exposures (art. 63 para. 3 litt. e Capital Ordinance)</t>
  </si>
  <si>
    <t xml:space="preserve">      Sovereigns
      (art. 63 para. 2 litt. a Capital Ordinance)</t>
  </si>
  <si>
    <t xml:space="preserve">         Banks and securities dealers
         (art. 63 para. 2 litt. d Capital Ordinance, art. 68 Capital Ordinance)</t>
  </si>
  <si>
    <t xml:space="preserve">         Other institutions
         (art. 63 para. 2 litt. b, c and e Capital Ordinance)</t>
  </si>
  <si>
    <t xml:space="preserve">      Corporates
      (art. 63 para. 2 litt. f and g Capital Ordinance, art. 63 para. 3 litt. b Capital Ordinance, art. 69 and 71 Capital Ordinance)</t>
  </si>
  <si>
    <t xml:space="preserve">      Retail
      (art. 63 para. 3 litt. a Capital Ordinance)</t>
  </si>
  <si>
    <t xml:space="preserve">      Equity
      (art. 63 para. 3 litt. f Capital Ordinance)</t>
  </si>
  <si>
    <t xml:space="preserve">      Other exposures
      (art. 63 para. 3 litt. g Capital Ordinance)</t>
  </si>
  <si>
    <t xml:space="preserve">      Investments "in all types of Funds"
      (art. 63 para. 3 litt. fbis Capital Ordinance)</t>
  </si>
  <si>
    <t xml:space="preserve">   Minimum capital requirements for settlement risk 
   (art. 76 para. 1 Capital Ordinance)</t>
  </si>
  <si>
    <t xml:space="preserve">   Minimum capital requirements for settlement risk 
   (art. 76 para. 2 litt. b Capital Ordinance)</t>
  </si>
  <si>
    <t>Additional minimum capital requirements for Securities Dealers pursuant to art. 29 para. 3 Stock Exchanges 
and Security Trading Ordinance (annual full costs)</t>
  </si>
  <si>
    <t>Increases in minimum capital requirements as per art. 4 para. 3 Banking Act and art. 29 para. 2 Stock Exchanges 
and Security Trading Ordinance</t>
  </si>
  <si>
    <t>(–) Reductions in minimum capital requirements as per art. 4 para. 3 Banking Act and art. 29 para. 2 Stock Exchanges
and Security Trading Ordinance</t>
  </si>
  <si>
    <t>Total Exposure for leverage ratio under the TBTF regime (amount including central bank deposits)</t>
  </si>
  <si>
    <t>T2.11.1.1</t>
  </si>
  <si>
    <t>(+) Adjustments to leverage ratio exposure as reported in LERA: add back of relief relative to central bank deposits</t>
  </si>
  <si>
    <t>T2.11.1.2</t>
  </si>
  <si>
    <t>(–) G-SIB Parent only: iGLAC passed on to subsidiaries (unless already reflected in item T2.11.1)</t>
  </si>
  <si>
    <t>T2.11.1.3</t>
  </si>
  <si>
    <t>(–) pro memoria: G-SIB Parent only: iGLAC passed on to subsidiaries (if already reflected in item T2.11.1)</t>
  </si>
  <si>
    <t>Gone Concern Requirements (RWA) - not applicable to G-SIB parent bank (see T3.3 for parent-specific requirements)</t>
  </si>
  <si>
    <t>Gone Concern Requirements (Leverage Ratio) - not applicable to G-SIB parent bank (see T3.3 for parent-specific requirements)</t>
  </si>
  <si>
    <t>Specific additional requirements pursuant to art. 4 para. 3 Banking Act and art. 29 para. 2 SESTO</t>
  </si>
  <si>
    <t>Gone Concern Instruments (RWA)</t>
  </si>
  <si>
    <t>T3.2.3.2.A</t>
  </si>
  <si>
    <t>Gone Concern Instruments (LR)</t>
  </si>
  <si>
    <t>T3.2.4.2.A</t>
  </si>
  <si>
    <t>Gone Concern Requirements / Instruments</t>
  </si>
  <si>
    <t>RWA-based Requirements  - not applicable to G-SIB parent bank (see T3.3 for parent-specific requirements)</t>
  </si>
  <si>
    <t>LRD-based Requirements - not applicable to G-SIB parent bank (see T3.3 for parent-specific requirements)</t>
  </si>
  <si>
    <t>T3.2.5.2.6.A</t>
  </si>
  <si>
    <t>Instruments to meet RWA requirements</t>
  </si>
  <si>
    <t>Instruments to meet Leverage Ratio requirements</t>
  </si>
  <si>
    <t xml:space="preserve">T3.3 </t>
  </si>
  <si>
    <t>G-SIB Parent specific requirements</t>
  </si>
  <si>
    <t>T3.3.1</t>
  </si>
  <si>
    <t>T3.3.2</t>
  </si>
  <si>
    <t>T3.3.3</t>
  </si>
  <si>
    <t>iGLAC passed on to subsidiaries (CHF)</t>
  </si>
  <si>
    <t>T3.3.4</t>
  </si>
  <si>
    <t>T3.3.5</t>
  </si>
  <si>
    <t>T3.3.6</t>
  </si>
  <si>
    <t>T3.3.7</t>
  </si>
  <si>
    <t>T3.3.8</t>
  </si>
  <si>
    <t>T3.3.9</t>
  </si>
  <si>
    <t>T3.3.10</t>
  </si>
  <si>
    <t>T3.3.11</t>
  </si>
  <si>
    <t>T3.3.12</t>
  </si>
  <si>
    <t>T3.3.13</t>
  </si>
  <si>
    <t xml:space="preserve">T4.1.1.1.6
</t>
  </si>
  <si>
    <t>RWA Ratio - not applicable to G-SIB parent bank (see T4.1.2.5 and T4.1.2.6 for parent-specific requirements)</t>
  </si>
  <si>
    <t>RWA Ratio Requirement - not applicable to G-SIB parent bank (see T4.1.2.5 and T4.1.2.6 for parent-specific requirements)</t>
  </si>
  <si>
    <t>Leverage Ratio - not applicable to G-SIB parent bank (see T4.1.2.5 and T4.1.2.6 for parent-specific requirements)</t>
  </si>
  <si>
    <t>Leverage Ratio Requirement - not applicable to G-SIB parent bank (see T4.1.2.5 and T4.1.2.6 for parent-specific requirements)</t>
  </si>
  <si>
    <t>T4.1.2.5</t>
  </si>
  <si>
    <t>G-SIB Parent Bank: Coverage Ratio</t>
  </si>
  <si>
    <t>T4.1.2.6</t>
  </si>
  <si>
    <t>Total LR-Ratio (without relief for going concern LRD for central bank deposits)</t>
  </si>
  <si>
    <r>
      <t xml:space="preserve">Final Requirements
</t>
    </r>
    <r>
      <rPr>
        <sz val="11"/>
        <rFont val="Arial"/>
        <family val="2"/>
      </rPr>
      <t>(i.e. without taking into account the transition rules according to the Capital Ordinance / i.e. "view 2023" for Parents; and "view 2026" for D-SIBs)</t>
    </r>
  </si>
  <si>
    <t>RWA Ratio - not applicable to G-SIB parent bank (see T4.2.2.5 and T4.2.2.6 for parent-specific requirements)</t>
  </si>
  <si>
    <t>Leverage Ratio - not applicable to G-SIB parent bank (see T4.2.2.5 and T4.2.2.6 for parent-specific requirements)</t>
  </si>
  <si>
    <t>T4.2.2.5</t>
  </si>
  <si>
    <t>T4.2.2.6</t>
  </si>
  <si>
    <t>Surplus (+) or deficit (–) in relation to capitalisation as a condition of solo-consolidation
(art. 10 para. 3 Capital Ordinance)</t>
  </si>
  <si>
    <t>Institution-specific market risk multiplier
(art. 88 para. 3 Capital Ordinance)</t>
  </si>
  <si>
    <t>(–) AT1 high trigger</t>
  </si>
  <si>
    <t>(–) AT1 low trigger (still AT1 eligible if first call date in the future, Art. 148b para. 1 litt. b Capital Ordinance)</t>
  </si>
  <si>
    <t>(–) AT1 low trigger that is ineligible for TBTF going-concern capital ratios (Art. 148b para. 1 litt. d)</t>
  </si>
  <si>
    <t xml:space="preserve">         Based on Look-Through Approach</t>
  </si>
  <si>
    <t xml:space="preserve">         Based on Mandate-Based Approach</t>
  </si>
  <si>
    <t xml:space="preserve">         Based on Fallback Approach</t>
  </si>
  <si>
    <t xml:space="preserve">         Based on Simplified Approach</t>
  </si>
  <si>
    <t>Minimum and buffer requirement</t>
  </si>
  <si>
    <t>Increment for countercyclical capital buffer</t>
  </si>
  <si>
    <t>Increment for Pillar 1 add-on (not affecting RWA)</t>
  </si>
  <si>
    <t>Increment for Pillar 2 add-on</t>
  </si>
  <si>
    <t>Total CET1 going concern requirement</t>
  </si>
  <si>
    <t>Total HT CoCo going concern requirement</t>
  </si>
  <si>
    <t>CET1 not used to cover RWA- or LRD-based going concern requirements</t>
  </si>
  <si>
    <t>AT1 HT CoCo not used to cover RWA- or LRD-based going concern requirements</t>
  </si>
  <si>
    <t>AT1 LT CoCo  not used to cover RWA- or LRD-based going concern requirements</t>
  </si>
  <si>
    <t>AT1 LT CoCo ineligible to cover going-concern requirements (Art. 148b para. 1 litt. d Capital Ordinance)</t>
  </si>
  <si>
    <t>T2 HT CoCo ineligible to cover going-concern requirements (Art. 148b para. 1 litt. c Capital Ordinance)</t>
  </si>
  <si>
    <t>T2 LT CoCo ineligible to cover going-concern requirements (Art. 148b para. 2 litt. c Capital Ordinance)</t>
  </si>
  <si>
    <t>Used to meet AT1 HT CoCo requirements</t>
  </si>
  <si>
    <t>In form of AT1 HT CoCo</t>
  </si>
  <si>
    <t>In form of AT1 LT CoCo</t>
  </si>
  <si>
    <t>In form of CET1 not used to cover RWA- or LRD-based going concern requirements</t>
  </si>
  <si>
    <t>In form of AT1 HT CoCo not used to cover RWA- or LRD-based going concern requirements</t>
  </si>
  <si>
    <t>In form of AT1 LT CoCo  not used to cover RWA- or LRD-based going concern requirements</t>
  </si>
  <si>
    <t>In form of AT1 LT CoCo ineligible to cover going-concern requirements (Art. 148b para. 1 litt. d Capital Ordinance)</t>
  </si>
  <si>
    <t>In form of T2 HT CoCo ineligible to cover going-concern requirements (Art. 148b para. 1 litt. c Capital Ordinance)</t>
  </si>
  <si>
    <t>In form of T2 LT CoCo ineligible to cover going-concern requirements (Art. 148b para. 2 litt. c Capital Ordinance)</t>
  </si>
  <si>
    <t xml:space="preserve">   of which Credit Risk</t>
  </si>
  <si>
    <t xml:space="preserve">   of which Market Risk</t>
  </si>
  <si>
    <t xml:space="preserve">   of which Op Risk</t>
  </si>
  <si>
    <t xml:space="preserve">Preliminary deductions (own holdings) concerning former T2 and AT1 capital as well as capital recognised presently as AT1 capital </t>
  </si>
  <si>
    <t>AT1 / high trigger</t>
  </si>
  <si>
    <t>AT1/high trigger CoCo capital</t>
  </si>
  <si>
    <t>AT1/low trigger CoCo capital (still AT1 eligible if first call date in the future, Art. 148b para. 1 litt. b Capital Ordinance)</t>
  </si>
  <si>
    <t>AT1/low trigger CoCo capital (ineligible for TBTF going-concern ratio post first call date, Art. 148b para. 1 litt. d Capital Ordinance)</t>
  </si>
  <si>
    <t>iGLAC (only eligible as gone concern capital instruments)</t>
  </si>
  <si>
    <t>Explicit cantonal guarantee or similar mechanism (art. 132a Capital Ordinance)</t>
  </si>
  <si>
    <t>At single-entity level: minimum capital requirements for participations in financial sector entities to be consolidated (art. 32 litt. j Capital Ordinance)</t>
  </si>
  <si>
    <t>(–) Reductions as per art. 148i Capital Ordinance</t>
  </si>
  <si>
    <t>Capital requirements for mortgage loans that do not comply with the SBA guidelines (as per art. 72 Capital Ordinance)</t>
  </si>
  <si>
    <t>Is art. 132a litt. b Capital Ordinance applicable?</t>
  </si>
  <si>
    <t>Statistics</t>
  </si>
  <si>
    <t>Questions on data collection:</t>
  </si>
  <si>
    <t>basel3@finma.ch</t>
  </si>
  <si>
    <t>T1.3.4.F.1</t>
  </si>
  <si>
    <t>pro memoria: own holdings (enter as negative amounts)</t>
  </si>
  <si>
    <t>T1.3.4.F.2</t>
  </si>
  <si>
    <t>(–) residual maturity &gt; 5 years</t>
  </si>
  <si>
    <t>T1.3.4.F.3</t>
  </si>
  <si>
    <t>(–) residual maturity &gt; 4 years and ≤ 5 years</t>
  </si>
  <si>
    <t>T1.3.4.F.4</t>
  </si>
  <si>
    <t>(–) residual maturity &gt; 3 years and ≤ 4 years</t>
  </si>
  <si>
    <t>T1.3.4.F.5</t>
  </si>
  <si>
    <t>(–) residual maturity &gt; 2 years and ≤ 3 years</t>
  </si>
  <si>
    <t>T1.3.4.F.6</t>
  </si>
  <si>
    <t>(–) residual maturity &gt; 1 year and  ≤ 2 years</t>
  </si>
  <si>
    <t>T1.3.4.F.7</t>
  </si>
  <si>
    <t>(–) pro memoria: residual maturity ≤ 1 year</t>
  </si>
  <si>
    <t>pro memoria: amortized amount eligible as gone concern capital before limitation to instruments with residual maturity &gt; 1 year and  ≤ 2 years</t>
  </si>
  <si>
    <t>T1.3.5.A</t>
  </si>
  <si>
    <t>T1.3.5.B</t>
  </si>
  <si>
    <t>T1.3.5.C</t>
  </si>
  <si>
    <t>T1.3.5.D</t>
  </si>
  <si>
    <t>T1.3.5.E</t>
  </si>
  <si>
    <t>T1.3.5.F</t>
  </si>
  <si>
    <t>T1.3.5.G</t>
  </si>
  <si>
    <t>T1.3.6.A</t>
  </si>
  <si>
    <t>T1.3.6.B</t>
  </si>
  <si>
    <t>T1.3.6.C</t>
  </si>
  <si>
    <t>T1.3.6.D</t>
  </si>
  <si>
    <t>T1.3.6.E</t>
  </si>
  <si>
    <t>T1.3.6.F</t>
  </si>
  <si>
    <t>T1.3.6.G</t>
  </si>
  <si>
    <t>T1.3.7.A</t>
  </si>
  <si>
    <t>T1.3.7.B</t>
  </si>
  <si>
    <t>T1.3.7.C</t>
  </si>
  <si>
    <t>T1.3.7.D</t>
  </si>
  <si>
    <t>T1.3.7.E</t>
  </si>
  <si>
    <t>T1.3.7.F</t>
  </si>
  <si>
    <t>T1.3.7.G</t>
  </si>
  <si>
    <t>T1.3.8.13</t>
  </si>
  <si>
    <t>(–) residual maturity &gt; 2 years</t>
  </si>
  <si>
    <t>T1.3.8.14</t>
  </si>
  <si>
    <t>(–) residual maturity &gt; 1 year and ≤ 2 years</t>
  </si>
  <si>
    <t>T1.3.8.15</t>
  </si>
  <si>
    <t>(–) residual maturity ≤ 1 year</t>
  </si>
  <si>
    <t>Emergency plan related requirement</t>
  </si>
  <si>
    <t>TLAC (all figures in %) - only applicable for SIBs at group level</t>
  </si>
  <si>
    <t>RWA Ratio gross Requirement - not applicable to G-SIB parent bank (see T4.2.2.5 and T4.2.2.6 for parent-specific requirements)</t>
  </si>
  <si>
    <t>T4.2.2.2.1</t>
  </si>
  <si>
    <t>T4.2.2.2.2</t>
  </si>
  <si>
    <t>T4.2.2.A</t>
  </si>
  <si>
    <t>RWA Ratio net Requirement</t>
  </si>
  <si>
    <t>T4.2.2.A.1</t>
  </si>
  <si>
    <t>covered in form of CET1 or CoCos</t>
  </si>
  <si>
    <t>T4.2.2.A.2</t>
  </si>
  <si>
    <t>covered in form of bail-in instruments</t>
  </si>
  <si>
    <t>Leverage Ratio gross Requirement - not applicable to G-SIB parent bank (see T4.2.2.5 and T4.2.2.6 for parent-specific requirements)</t>
  </si>
  <si>
    <t>T4.2.2.4.1</t>
  </si>
  <si>
    <t>T4.2.2.4.2</t>
  </si>
  <si>
    <t>T4.2.2.B</t>
  </si>
  <si>
    <t>Leverage Ratio net Requirement</t>
  </si>
  <si>
    <t>T4.2.2.B.1</t>
  </si>
  <si>
    <t>T4.2.2.B.2</t>
  </si>
  <si>
    <t>Total RWA-Ratio net Requirement (ie TLAC + Buffers)</t>
  </si>
  <si>
    <t>Total LR-Ratio net Requirement (ie TLAC + Buffers)</t>
  </si>
  <si>
    <t>=CSIB_LERA_BIS [21/1] + row 1439 + row 1440</t>
  </si>
  <si>
    <t>pro memoria: SIB Parent Bank gone-concern requirements in thousands of CHF (equals coverage ratio minimum of 100%)</t>
  </si>
  <si>
    <t>Release 1.7</t>
  </si>
  <si>
    <t>Other instruments eligible as bail-in instruments (incl. debt instruments from cantonal banks according to art. 127a par. 1bis Capital Ordinance) / breakdown of maturities (only eligible as gone concern capital instruments)</t>
  </si>
  <si>
    <t xml:space="preserve">
T3.02
</t>
  </si>
  <si>
    <t>If a G-SIB, select the reporting entity: Swiss Legal Entity = "A"; Parent = "B"; Holding = "C"</t>
  </si>
  <si>
    <t>Additional requirement (art. 65b par. 1 let. a Banking Ordinance and art. 133 Capital Ordinance)</t>
  </si>
  <si>
    <t>T3.1.3.7</t>
  </si>
  <si>
    <t>Total requirement (before art. 132a par. 2 Capital Ordinance)</t>
  </si>
  <si>
    <t>T3.1.4.7</t>
  </si>
  <si>
    <t xml:space="preserve">Total requirement (before art 132a par. 2 Capital Ordinance) </t>
  </si>
  <si>
    <t>RWA Requirements</t>
  </si>
  <si>
    <t>Going concern - Minimum requirement (8% RWA)</t>
  </si>
  <si>
    <t>Going concern - Buffer requirement (x% RWA)</t>
  </si>
  <si>
    <t>Going concern - Additional requirements for countercyclical buffer (affecting CET1)</t>
  </si>
  <si>
    <t>Going concern - Specific additional requirements</t>
  </si>
  <si>
    <t>(–) Reductions in going concern capital requirements as per art. 4 para. 3 Banking Act and art. 29 para. 2 SESTO</t>
  </si>
  <si>
    <t>T3.2.1.8</t>
  </si>
  <si>
    <t>Gone concern - Specific additional requirements pursuant to art. 65b par. 1 let. a Banking Ordinance and art. 133 CAO</t>
  </si>
  <si>
    <t>Leverage Ratio (LR) Requirements</t>
  </si>
  <si>
    <t>Going concern - Minimum requirement (3% LRD)</t>
  </si>
  <si>
    <t>Going concern - Buffer requirement (x% LRD)</t>
  </si>
  <si>
    <t>T3.2.2.7</t>
  </si>
  <si>
    <t>Gone-concern requirements before any reductions according to art. 132 par. 4 Capital Ordinance</t>
  </si>
  <si>
    <t>Gone-concern requirements after reductions according to art. 132 par. 4 Capital Ordinance</t>
  </si>
  <si>
    <t>Specific RWA-additional requirement CAO art. 133 (CHF)</t>
  </si>
  <si>
    <t>Third party RWA</t>
  </si>
  <si>
    <t>T3.3.5.1</t>
  </si>
  <si>
    <t>T3.3.5.2</t>
  </si>
  <si>
    <t>T3.3.5.3</t>
  </si>
  <si>
    <t>Third party LRD (leverage ratio exposure)</t>
  </si>
  <si>
    <t>RWA at parent consolidated level</t>
  </si>
  <si>
    <t>LRD at parent consolidated level</t>
  </si>
  <si>
    <t>Total RWA</t>
  </si>
  <si>
    <t>Total LRD</t>
  </si>
  <si>
    <t>pro memoria: lower limit for gone-concern requirements according to art. 132a par. 2 Capital Ordinance</t>
  </si>
  <si>
    <t>pro memoria: lower limit for RWA-based component of gone-concern requirements according to art. 132a par. 2 Capital Ordinance</t>
  </si>
  <si>
    <t>pro memoria: lower limit for LRD-based component of gone-concern requirements according to art. 132a par. 2 Capital Ordinance</t>
  </si>
  <si>
    <t>3.05.E0</t>
  </si>
  <si>
    <t>=CSIB_CRFUNDS [01/07]</t>
  </si>
  <si>
    <t>=CSIB_CRFUNDS [03/07]</t>
  </si>
  <si>
    <t>=CSIB_CRFUNDS [05/07]</t>
  </si>
  <si>
    <t>=CSIB_CRFUNDS [07/07+ 24/07]</t>
  </si>
  <si>
    <t>Consolidated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</si>
</sst>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 #,##0.00_ ;_ * \-#,##0.00_ ;_ * &quot;-&quot;??_ ;_ @_ "/>
    <numFmt numFmtId="164" formatCode="General_)"/>
    <numFmt numFmtId="165" formatCode="0_)"/>
    <numFmt numFmtId="166" formatCode="#,##0_)"/>
    <numFmt numFmtId="167" formatCode="0&quot; ERROR&quot;"/>
    <numFmt numFmtId="168" formatCode="000000"/>
    <numFmt numFmtId="169" formatCode="d/m/yyyy"/>
    <numFmt numFmtId="170" formatCode="0&quot; Warnung&quot;"/>
    <numFmt numFmtId="171" formatCode="0&quot; ERRORS&quot;"/>
    <numFmt numFmtId="172" formatCode="#,##0.00_)"/>
    <numFmt numFmtId="173" formatCode="0&quot; WARNUNG&quot;"/>
    <numFmt numFmtId="174" formatCode="#,##0_);[Red]\-#,##0_);;@"/>
    <numFmt numFmtId="175" formatCode="0.000_)"/>
    <numFmt numFmtId="176" formatCode="0.0000_)"/>
    <numFmt numFmtId="177" formatCode="000"/>
    <numFmt numFmtId="178" formatCode=";;;"/>
    <numFmt numFmtId="179" formatCode="_ * #,##0_ ;_ * \-#,##0_ ;_ * &quot;-&quot;??_ ;_ @_ "/>
    <numFmt numFmtId="180" formatCode="0.0000%_);[Red]\-0.0000%_);;@"/>
    <numFmt numFmtId="181" formatCode="#,##0_);[Red]\-#,##0_)"/>
    <numFmt numFmtId="182" formatCode="0.0000%;[Red]\-0.0000%"/>
  </numFmts>
  <fonts count="42">
    <font>
      <sz val="10"/>
      <color theme="1"/>
      <name val="Arial"/>
      <family val="2"/>
    </font>
    <font>
      <b/>
      <sz val="10"/>
      <name val="Helv"/>
    </font>
    <font>
      <sz val="10"/>
      <name val="Arial"/>
      <family val="2"/>
    </font>
    <font>
      <sz val="9"/>
      <name val="Arial"/>
      <family val="2"/>
    </font>
    <font>
      <b/>
      <sz val="14"/>
      <name val="Arial"/>
      <family val="2"/>
    </font>
    <font>
      <b/>
      <sz val="10"/>
      <name val="Arial"/>
      <family val="2"/>
    </font>
    <font>
      <b/>
      <sz val="12"/>
      <name val="Arial"/>
      <family val="2"/>
    </font>
    <font>
      <b/>
      <sz val="10"/>
      <color indexed="10"/>
      <name val="Arial"/>
      <family val="2"/>
    </font>
    <font>
      <sz val="10"/>
      <color indexed="10"/>
      <name val="Arial"/>
      <family val="2"/>
    </font>
    <font>
      <b/>
      <sz val="10"/>
      <name val="Arial"/>
      <family val="2"/>
    </font>
    <font>
      <sz val="8"/>
      <name val="Palatino"/>
      <family val="1"/>
    </font>
    <font>
      <b/>
      <sz val="11"/>
      <name val="Arial"/>
      <family val="2"/>
    </font>
    <font>
      <sz val="11"/>
      <name val="Arial"/>
      <family val="2"/>
    </font>
    <font>
      <b/>
      <sz val="10"/>
      <color indexed="10"/>
      <name val="Arial"/>
      <family val="2"/>
    </font>
    <font>
      <sz val="8"/>
      <name val="Arial"/>
      <family val="2"/>
    </font>
    <font>
      <b/>
      <sz val="18"/>
      <name val="Arial"/>
      <family val="2"/>
    </font>
    <font>
      <b/>
      <sz val="10"/>
      <color indexed="8"/>
      <name val="Arial"/>
      <family val="2"/>
    </font>
    <font>
      <sz val="10"/>
      <color indexed="8"/>
      <name val="Arial"/>
      <family val="2"/>
    </font>
    <font>
      <sz val="14"/>
      <name val="Arial"/>
      <family val="2"/>
    </font>
    <font>
      <b/>
      <sz val="16"/>
      <name val="Arial"/>
      <family val="2"/>
    </font>
    <font>
      <sz val="10"/>
      <color theme="1"/>
      <name val="Arial"/>
      <family val="2"/>
    </font>
    <font>
      <b/>
      <sz val="10"/>
      <color rgb="FFFF0000"/>
      <name val="Arial"/>
      <family val="2"/>
    </font>
    <font>
      <u/>
      <sz val="11"/>
      <color theme="10"/>
      <name val="Calibri"/>
      <family val="2"/>
    </font>
    <font>
      <b/>
      <sz val="14"/>
      <color theme="1"/>
      <name val="Arial"/>
      <family val="2"/>
    </font>
    <font>
      <b/>
      <sz val="11"/>
      <color theme="1"/>
      <name val="Arial"/>
      <family val="2"/>
    </font>
    <font>
      <sz val="11"/>
      <color theme="1"/>
      <name val="Arial"/>
      <family val="2"/>
    </font>
    <font>
      <b/>
      <sz val="9"/>
      <color rgb="FFFF0000"/>
      <name val="Arial"/>
      <family val="2"/>
    </font>
    <font>
      <sz val="11"/>
      <color rgb="FF0070C0"/>
      <name val="Verdana"/>
      <family val="2"/>
    </font>
    <font>
      <sz val="10"/>
      <color rgb="FF000000"/>
      <name val="Arial"/>
      <family val="2"/>
    </font>
    <font>
      <u/>
      <sz val="10"/>
      <color theme="10"/>
      <name val="Arial"/>
      <family val="2"/>
    </font>
    <font>
      <sz val="8"/>
      <color theme="1"/>
      <name val="Arial"/>
      <family val="2"/>
    </font>
    <font>
      <sz val="8"/>
      <color rgb="FF000000"/>
      <name val="Arial"/>
      <family val="2"/>
    </font>
    <font>
      <u/>
      <sz val="8"/>
      <color theme="10"/>
      <name val="Arial"/>
      <family val="2"/>
    </font>
    <font>
      <b/>
      <sz val="10"/>
      <color theme="1"/>
      <name val="Arial"/>
      <family val="2"/>
    </font>
    <font>
      <b/>
      <sz val="12"/>
      <color theme="1"/>
      <name val="Arial"/>
      <family val="2"/>
    </font>
    <font>
      <sz val="10"/>
      <color rgb="FFFF0000"/>
      <name val="Arial"/>
      <family val="2"/>
    </font>
    <font>
      <b/>
      <sz val="11"/>
      <color rgb="FFFF0000"/>
      <name val="Arial"/>
      <family val="2"/>
    </font>
    <font>
      <sz val="10"/>
      <color rgb="FFFFFFFF"/>
      <name val="Arial"/>
      <family val="2"/>
    </font>
    <font>
      <sz val="10"/>
      <color theme="9" tint="-0.499984740745262"/>
      <name val="Arial"/>
      <family val="2"/>
    </font>
    <font>
      <sz val="10"/>
      <color rgb="FF7030A0"/>
      <name val="Arial"/>
      <family val="2"/>
    </font>
    <font>
      <b/>
      <sz val="11"/>
      <color rgb="FFFA7D00"/>
      <name val="Arial"/>
      <family val="2"/>
    </font>
    <font>
      <sz val="8"/>
      <color theme="1"/>
      <name val="Calibri"/>
      <family val="2"/>
      <scheme val="minor"/>
    </font>
  </fonts>
  <fills count="12">
    <fill>
      <patternFill patternType="none"/>
    </fill>
    <fill>
      <patternFill patternType="gray125"/>
    </fill>
    <fill>
      <patternFill patternType="solid">
        <fgColor rgb="FFF0EFD7"/>
        <bgColor indexed="64"/>
      </patternFill>
    </fill>
    <fill>
      <patternFill patternType="solid">
        <fgColor rgb="FFFFC000"/>
        <bgColor indexed="64"/>
      </patternFill>
    </fill>
    <fill>
      <patternFill patternType="solid">
        <fgColor rgb="FFDCEFB4"/>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
      <patternFill patternType="solid">
        <fgColor rgb="FF92D050"/>
        <bgColor indexed="64"/>
      </patternFill>
    </fill>
    <fill>
      <patternFill patternType="solid">
        <fgColor rgb="FFF2F2F2"/>
      </patternFill>
    </fill>
    <fill>
      <patternFill patternType="solid">
        <fgColor theme="0" tint="-0.14996795556505021"/>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top/>
      <bottom style="double">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n">
        <color theme="0"/>
      </bottom>
      <diagonal/>
    </border>
    <border>
      <left/>
      <right/>
      <top style="thin">
        <color theme="0"/>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hair">
        <color indexed="64"/>
      </top>
      <bottom/>
      <diagonal/>
    </border>
  </borders>
  <cellStyleXfs count="27">
    <xf numFmtId="0" fontId="0" fillId="0" borderId="0"/>
    <xf numFmtId="174" fontId="20" fillId="0" borderId="1" applyFill="0">
      <protection locked="0"/>
    </xf>
    <xf numFmtId="0" fontId="20" fillId="0" borderId="1">
      <alignment wrapText="1"/>
      <protection locked="0"/>
    </xf>
    <xf numFmtId="0" fontId="20" fillId="2" borderId="3" applyNumberFormat="0">
      <alignment vertical="center"/>
    </xf>
    <xf numFmtId="174" fontId="20" fillId="0" borderId="4"/>
    <xf numFmtId="180" fontId="20" fillId="0" borderId="4"/>
    <xf numFmtId="0" fontId="20" fillId="0" borderId="5" applyNumberFormat="0">
      <alignment horizontal="center" vertical="center"/>
    </xf>
    <xf numFmtId="0" fontId="21" fillId="3" borderId="6">
      <alignment horizontal="center" vertical="center"/>
    </xf>
    <xf numFmtId="174" fontId="20" fillId="0" borderId="3" applyNumberFormat="0" applyFont="0" applyAlignment="0">
      <alignment vertical="center"/>
    </xf>
    <xf numFmtId="0" fontId="22" fillId="0" borderId="0" applyNumberFormat="0" applyFill="0" applyBorder="0" applyAlignment="0" applyProtection="0">
      <alignment vertical="top"/>
      <protection locked="0"/>
    </xf>
    <xf numFmtId="177" fontId="20" fillId="4" borderId="3">
      <alignment horizontal="center"/>
    </xf>
    <xf numFmtId="164" fontId="1" fillId="0" borderId="0" applyFill="0" applyBorder="0">
      <alignment horizontal="left"/>
    </xf>
    <xf numFmtId="0" fontId="23" fillId="0" borderId="0" applyNumberFormat="0" applyFill="0" applyBorder="0" applyAlignment="0" applyProtection="0"/>
    <xf numFmtId="0" fontId="21" fillId="5" borderId="6">
      <alignment horizontal="center" vertical="center"/>
    </xf>
    <xf numFmtId="0" fontId="20" fillId="0" borderId="1">
      <alignment horizontal="center" wrapText="1"/>
      <protection locked="0"/>
    </xf>
    <xf numFmtId="43" fontId="20" fillId="0" borderId="0" applyFont="0" applyFill="0" applyBorder="0" applyAlignment="0" applyProtection="0"/>
    <xf numFmtId="0" fontId="40" fillId="9" borderId="33" applyNumberFormat="0" applyAlignment="0" applyProtection="0"/>
    <xf numFmtId="182" fontId="20" fillId="10" borderId="1"/>
    <xf numFmtId="174" fontId="20" fillId="10" borderId="1"/>
    <xf numFmtId="164" fontId="5" fillId="0" borderId="0" applyFill="0" applyBorder="0">
      <alignment horizontal="left"/>
    </xf>
    <xf numFmtId="49" fontId="20" fillId="10" borderId="3"/>
    <xf numFmtId="180" fontId="2" fillId="0" borderId="2">
      <alignment horizontal="right"/>
      <protection locked="0"/>
    </xf>
    <xf numFmtId="181" fontId="20" fillId="10" borderId="1"/>
    <xf numFmtId="181" fontId="20" fillId="0" borderId="1">
      <protection locked="0"/>
    </xf>
    <xf numFmtId="49" fontId="20" fillId="0" borderId="1">
      <alignment horizontal="center"/>
      <protection locked="0"/>
    </xf>
    <xf numFmtId="49" fontId="20" fillId="0" borderId="1">
      <alignment horizontal="center" wrapText="1"/>
      <protection locked="0"/>
    </xf>
    <xf numFmtId="182" fontId="20" fillId="0" borderId="1">
      <alignment horizontal="center"/>
      <protection locked="0"/>
    </xf>
  </cellStyleXfs>
  <cellXfs count="676">
    <xf numFmtId="0" fontId="0" fillId="0" borderId="0" xfId="0"/>
    <xf numFmtId="0" fontId="24" fillId="6" borderId="29" xfId="0" applyFont="1" applyFill="1" applyBorder="1" applyAlignment="1" applyProtection="1">
      <alignment horizontal="center" vertical="center"/>
      <protection locked="0"/>
    </xf>
    <xf numFmtId="168" fontId="24" fillId="6" borderId="29" xfId="0" applyNumberFormat="1" applyFont="1" applyFill="1" applyBorder="1" applyAlignment="1" applyProtection="1">
      <alignment horizontal="center" vertical="center"/>
      <protection locked="0"/>
    </xf>
    <xf numFmtId="0" fontId="2" fillId="0" borderId="7" xfId="0" applyFont="1" applyBorder="1"/>
    <xf numFmtId="0" fontId="2" fillId="0" borderId="0" xfId="0" applyFont="1"/>
    <xf numFmtId="0" fontId="2" fillId="0" borderId="8" xfId="0" applyFont="1" applyBorder="1"/>
    <xf numFmtId="0" fontId="2" fillId="0" borderId="0" xfId="0" applyFont="1" applyBorder="1"/>
    <xf numFmtId="0" fontId="2" fillId="0" borderId="0" xfId="0" applyFont="1" applyBorder="1" applyAlignment="1">
      <alignment horizontal="right"/>
    </xf>
    <xf numFmtId="0" fontId="2" fillId="0" borderId="9" xfId="0" applyFont="1" applyBorder="1"/>
    <xf numFmtId="0" fontId="2" fillId="0" borderId="0" xfId="0" applyFont="1" applyBorder="1" applyAlignment="1">
      <alignment horizontal="center"/>
    </xf>
    <xf numFmtId="0" fontId="2" fillId="0" borderId="10" xfId="0" applyFont="1" applyBorder="1"/>
    <xf numFmtId="164" fontId="5" fillId="0" borderId="0" xfId="11" applyFont="1" applyBorder="1">
      <alignment horizontal="left"/>
    </xf>
    <xf numFmtId="164" fontId="4" fillId="0" borderId="0" xfId="11" applyFont="1" applyBorder="1">
      <alignment horizontal="left"/>
    </xf>
    <xf numFmtId="165" fontId="20" fillId="2" borderId="3" xfId="3" applyNumberFormat="1">
      <alignment vertical="center"/>
    </xf>
    <xf numFmtId="174" fontId="20" fillId="0" borderId="1" xfId="1">
      <protection locked="0"/>
    </xf>
    <xf numFmtId="0" fontId="8" fillId="0" borderId="0" xfId="0" applyFont="1"/>
    <xf numFmtId="164" fontId="2" fillId="0" borderId="11" xfId="0" applyNumberFormat="1" applyFont="1" applyBorder="1" applyAlignment="1">
      <alignment horizontal="left"/>
    </xf>
    <xf numFmtId="0" fontId="2" fillId="0" borderId="12" xfId="0" applyFont="1" applyBorder="1" applyAlignment="1">
      <alignment horizontal="left"/>
    </xf>
    <xf numFmtId="169" fontId="2" fillId="0" borderId="12" xfId="0" applyNumberFormat="1" applyFont="1" applyBorder="1" applyAlignment="1">
      <alignment horizontal="left"/>
    </xf>
    <xf numFmtId="167" fontId="7" fillId="0" borderId="8" xfId="0" applyNumberFormat="1" applyFont="1" applyBorder="1" applyAlignment="1">
      <alignment horizontal="left"/>
    </xf>
    <xf numFmtId="2" fontId="2" fillId="0" borderId="12" xfId="0" applyNumberFormat="1" applyFont="1" applyBorder="1" applyAlignment="1">
      <alignment horizontal="left"/>
    </xf>
    <xf numFmtId="2" fontId="2" fillId="0" borderId="0" xfId="0" applyNumberFormat="1" applyFont="1"/>
    <xf numFmtId="170" fontId="7" fillId="0" borderId="0" xfId="0" applyNumberFormat="1" applyFont="1" applyBorder="1" applyAlignment="1">
      <alignment horizontal="left"/>
    </xf>
    <xf numFmtId="165" fontId="20" fillId="2" borderId="0" xfId="3" applyNumberFormat="1" applyBorder="1">
      <alignment vertical="center"/>
    </xf>
    <xf numFmtId="0" fontId="11" fillId="0" borderId="0" xfId="0" applyFont="1"/>
    <xf numFmtId="174" fontId="20" fillId="0" borderId="1" xfId="1" applyBorder="1">
      <protection locked="0"/>
    </xf>
    <xf numFmtId="165" fontId="20" fillId="2" borderId="3" xfId="3" applyNumberFormat="1" applyBorder="1">
      <alignment vertical="center"/>
    </xf>
    <xf numFmtId="174" fontId="20" fillId="0" borderId="4" xfId="4"/>
    <xf numFmtId="0" fontId="2" fillId="0" borderId="13"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vertical="top" wrapText="1"/>
    </xf>
    <xf numFmtId="0" fontId="2" fillId="0" borderId="14" xfId="0" applyFont="1" applyBorder="1" applyAlignment="1">
      <alignment horizontal="right"/>
    </xf>
    <xf numFmtId="0" fontId="2" fillId="0" borderId="3" xfId="0" applyFont="1" applyBorder="1" applyAlignment="1">
      <alignment vertical="top" wrapText="1"/>
    </xf>
    <xf numFmtId="0" fontId="2" fillId="0" borderId="9" xfId="0" applyFont="1" applyBorder="1" applyAlignment="1">
      <alignment horizontal="left" vertical="top" wrapText="1"/>
    </xf>
    <xf numFmtId="0" fontId="2" fillId="0" borderId="7" xfId="0" applyFont="1" applyBorder="1" applyAlignment="1">
      <alignment vertical="top"/>
    </xf>
    <xf numFmtId="0" fontId="2" fillId="0" borderId="11" xfId="0" applyFont="1" applyBorder="1" applyAlignment="1">
      <alignment vertical="top" wrapText="1"/>
    </xf>
    <xf numFmtId="0" fontId="2" fillId="0" borderId="10" xfId="0" applyFont="1" applyBorder="1" applyAlignment="1">
      <alignment vertical="top"/>
    </xf>
    <xf numFmtId="0" fontId="2" fillId="0" borderId="15" xfId="0" applyFont="1" applyBorder="1" applyAlignment="1">
      <alignment vertical="top" wrapText="1"/>
    </xf>
    <xf numFmtId="0" fontId="2" fillId="0" borderId="14" xfId="0" applyFont="1" applyBorder="1" applyAlignment="1">
      <alignment vertical="top" wrapText="1"/>
    </xf>
    <xf numFmtId="0" fontId="2" fillId="0" borderId="10" xfId="0" applyFont="1" applyBorder="1" applyAlignment="1">
      <alignment vertical="top" wrapText="1"/>
    </xf>
    <xf numFmtId="0" fontId="2" fillId="0" borderId="9" xfId="0" applyFont="1" applyBorder="1" applyAlignment="1">
      <alignment vertical="top" wrapText="1"/>
    </xf>
    <xf numFmtId="164" fontId="4" fillId="0" borderId="14" xfId="11" applyFont="1" applyBorder="1">
      <alignment horizontal="left"/>
    </xf>
    <xf numFmtId="0" fontId="2" fillId="0" borderId="14" xfId="0" applyFont="1" applyBorder="1" applyAlignment="1">
      <alignment vertical="top"/>
    </xf>
    <xf numFmtId="0" fontId="2" fillId="0" borderId="12"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xf>
    <xf numFmtId="0" fontId="2" fillId="0" borderId="13" xfId="0" applyFont="1" applyBorder="1" applyAlignment="1">
      <alignment vertical="top"/>
    </xf>
    <xf numFmtId="0" fontId="2" fillId="0" borderId="7" xfId="0" applyFont="1" applyBorder="1" applyAlignment="1">
      <alignment vertical="top" wrapText="1"/>
    </xf>
    <xf numFmtId="0" fontId="0" fillId="0" borderId="0" xfId="0" applyBorder="1"/>
    <xf numFmtId="164" fontId="5" fillId="0" borderId="9" xfId="11" applyFont="1" applyBorder="1">
      <alignment horizontal="left"/>
    </xf>
    <xf numFmtId="174" fontId="20" fillId="0" borderId="16" xfId="1" applyBorder="1">
      <protection locked="0"/>
    </xf>
    <xf numFmtId="174" fontId="20" fillId="0" borderId="17" xfId="4" applyBorder="1"/>
    <xf numFmtId="174" fontId="20" fillId="0" borderId="4" xfId="4" applyBorder="1"/>
    <xf numFmtId="0" fontId="9" fillId="0" borderId="18" xfId="0" applyFont="1" applyBorder="1"/>
    <xf numFmtId="0" fontId="2" fillId="0" borderId="19" xfId="0" applyFont="1" applyBorder="1"/>
    <xf numFmtId="0" fontId="2" fillId="0" borderId="20" xfId="0" applyFont="1" applyBorder="1"/>
    <xf numFmtId="171" fontId="13" fillId="0" borderId="0" xfId="0" applyNumberFormat="1" applyFont="1" applyFill="1" applyAlignment="1">
      <alignment horizontal="left"/>
    </xf>
    <xf numFmtId="166" fontId="2" fillId="0" borderId="0" xfId="0" applyNumberFormat="1" applyFont="1"/>
    <xf numFmtId="171" fontId="13" fillId="0" borderId="0" xfId="0" quotePrefix="1" applyNumberFormat="1" applyFont="1" applyFill="1" applyAlignment="1">
      <alignment horizontal="left"/>
    </xf>
    <xf numFmtId="171" fontId="13" fillId="0" borderId="15" xfId="0" quotePrefix="1" applyNumberFormat="1" applyFont="1" applyFill="1" applyBorder="1" applyAlignment="1">
      <alignment horizontal="left"/>
    </xf>
    <xf numFmtId="0" fontId="12" fillId="0" borderId="0" xfId="0" applyFont="1"/>
    <xf numFmtId="0" fontId="11" fillId="0" borderId="0" xfId="0" applyFont="1" applyBorder="1" applyAlignment="1"/>
    <xf numFmtId="0" fontId="2" fillId="0" borderId="11" xfId="0" applyFont="1" applyBorder="1" applyAlignment="1">
      <alignment vertical="top"/>
    </xf>
    <xf numFmtId="0" fontId="2" fillId="0" borderId="8" xfId="0" applyFont="1" applyBorder="1" applyAlignment="1">
      <alignment vertical="top"/>
    </xf>
    <xf numFmtId="0" fontId="2" fillId="0" borderId="0" xfId="0" applyFont="1" applyBorder="1" applyAlignment="1">
      <alignment vertical="top" wrapText="1"/>
    </xf>
    <xf numFmtId="0" fontId="2" fillId="0" borderId="0" xfId="0" applyFont="1" applyBorder="1" applyAlignment="1">
      <alignment vertical="top"/>
    </xf>
    <xf numFmtId="0" fontId="2" fillId="0" borderId="12" xfId="0" applyFont="1" applyBorder="1" applyAlignment="1">
      <alignment vertical="top"/>
    </xf>
    <xf numFmtId="0" fontId="3" fillId="0" borderId="0" xfId="0" applyFont="1"/>
    <xf numFmtId="0" fontId="2" fillId="0" borderId="0" xfId="0" applyFont="1" applyAlignment="1">
      <alignment horizontal="center"/>
    </xf>
    <xf numFmtId="164" fontId="4" fillId="0" borderId="0" xfId="11" applyFont="1" applyAlignment="1">
      <alignment horizontal="center"/>
    </xf>
    <xf numFmtId="0" fontId="5" fillId="0" borderId="0" xfId="0" applyFont="1" applyAlignment="1">
      <alignment horizontal="center"/>
    </xf>
    <xf numFmtId="0" fontId="3" fillId="0" borderId="0" xfId="0" applyFont="1" applyBorder="1"/>
    <xf numFmtId="164" fontId="15" fillId="0" borderId="0" xfId="11" applyFont="1" applyAlignment="1">
      <alignment horizontal="center"/>
    </xf>
    <xf numFmtId="0" fontId="5" fillId="0" borderId="0" xfId="0" applyFont="1" applyAlignment="1">
      <alignment horizontal="left"/>
    </xf>
    <xf numFmtId="0" fontId="2" fillId="0" borderId="0" xfId="0" applyFont="1" applyProtection="1"/>
    <xf numFmtId="0" fontId="2" fillId="0" borderId="9" xfId="0" applyFont="1" applyBorder="1" applyAlignment="1">
      <alignment horizontal="center"/>
    </xf>
    <xf numFmtId="0" fontId="2" fillId="0" borderId="9" xfId="0" quotePrefix="1" applyFont="1" applyBorder="1" applyAlignment="1">
      <alignment horizontal="center"/>
    </xf>
    <xf numFmtId="0" fontId="5" fillId="0" borderId="9" xfId="0" applyFont="1" applyBorder="1" applyAlignment="1">
      <alignment horizontal="center"/>
    </xf>
    <xf numFmtId="0" fontId="2" fillId="0" borderId="0" xfId="0" applyFont="1" applyAlignment="1" applyProtection="1">
      <alignment horizontal="center"/>
    </xf>
    <xf numFmtId="0" fontId="5" fillId="0" borderId="0" xfId="0" applyFont="1" applyAlignment="1" applyProtection="1">
      <alignment horizontal="center"/>
    </xf>
    <xf numFmtId="0" fontId="5" fillId="0" borderId="0" xfId="0" applyFont="1" applyProtection="1"/>
    <xf numFmtId="0" fontId="25" fillId="0" borderId="0" xfId="0" applyFont="1"/>
    <xf numFmtId="0" fontId="0" fillId="0" borderId="0" xfId="0" applyFont="1"/>
    <xf numFmtId="0" fontId="0" fillId="0" borderId="0" xfId="0" applyFont="1" applyAlignment="1">
      <alignment horizontal="right" vertical="center"/>
    </xf>
    <xf numFmtId="0" fontId="24" fillId="0" borderId="0" xfId="0" applyFont="1" applyAlignment="1">
      <alignment horizontal="center" vertical="center"/>
    </xf>
    <xf numFmtId="0" fontId="0" fillId="0" borderId="0" xfId="0"/>
    <xf numFmtId="0" fontId="26" fillId="0" borderId="0" xfId="0" applyFont="1" applyAlignment="1">
      <alignment vertical="center"/>
    </xf>
    <xf numFmtId="0" fontId="22" fillId="0" borderId="0" xfId="9" applyAlignment="1" applyProtection="1">
      <alignment vertical="center"/>
    </xf>
    <xf numFmtId="0" fontId="24" fillId="0" borderId="0" xfId="0" applyFont="1" applyFill="1" applyAlignment="1">
      <alignment vertical="center" textRotation="90"/>
    </xf>
    <xf numFmtId="0" fontId="25" fillId="0" borderId="0" xfId="0" applyFont="1" applyFill="1"/>
    <xf numFmtId="0" fontId="25" fillId="0" borderId="0" xfId="0" applyFont="1" applyFill="1" applyAlignment="1">
      <alignment vertical="center"/>
    </xf>
    <xf numFmtId="0" fontId="0" fillId="0" borderId="0" xfId="0" applyFont="1" applyFill="1"/>
    <xf numFmtId="0" fontId="0" fillId="0" borderId="0" xfId="0" applyFont="1" applyFill="1" applyBorder="1" applyProtection="1"/>
    <xf numFmtId="0" fontId="25" fillId="5" borderId="0" xfId="0" applyFont="1" applyFill="1"/>
    <xf numFmtId="0" fontId="0" fillId="5" borderId="0" xfId="0" applyFont="1" applyFill="1"/>
    <xf numFmtId="0" fontId="0" fillId="5" borderId="0" xfId="0" applyFont="1" applyFill="1" applyAlignment="1">
      <alignment horizontal="center"/>
    </xf>
    <xf numFmtId="0" fontId="25" fillId="5" borderId="0" xfId="0" applyFont="1" applyFill="1" applyAlignment="1">
      <alignment horizontal="center"/>
    </xf>
    <xf numFmtId="0" fontId="27" fillId="0" borderId="0" xfId="0" applyFont="1"/>
    <xf numFmtId="0" fontId="25" fillId="0" borderId="0" xfId="0" applyFont="1" applyAlignment="1">
      <alignment vertical="center"/>
    </xf>
    <xf numFmtId="0" fontId="28" fillId="0" borderId="0" xfId="0" applyFont="1" applyAlignment="1">
      <alignment horizontal="left" readingOrder="1"/>
    </xf>
    <xf numFmtId="0" fontId="22" fillId="0" borderId="0" xfId="9" applyAlignment="1" applyProtection="1"/>
    <xf numFmtId="0" fontId="29" fillId="0" borderId="9" xfId="9" applyFont="1" applyBorder="1" applyAlignment="1" applyProtection="1">
      <alignment horizontal="left" readingOrder="1"/>
    </xf>
    <xf numFmtId="0" fontId="2" fillId="0" borderId="0" xfId="0" applyFont="1" applyAlignment="1">
      <alignment horizontal="right"/>
    </xf>
    <xf numFmtId="0" fontId="0" fillId="0" borderId="0" xfId="0" applyFont="1" applyFill="1" applyAlignment="1">
      <alignment vertical="center"/>
    </xf>
    <xf numFmtId="0" fontId="0" fillId="0" borderId="0" xfId="0" applyFont="1" applyFill="1"/>
    <xf numFmtId="0" fontId="0" fillId="0" borderId="0" xfId="0" applyFont="1"/>
    <xf numFmtId="14" fontId="21" fillId="0" borderId="0" xfId="0" applyNumberFormat="1" applyFont="1"/>
    <xf numFmtId="0" fontId="0" fillId="0" borderId="9" xfId="0" applyFont="1" applyBorder="1"/>
    <xf numFmtId="0" fontId="30" fillId="0" borderId="0" xfId="0" applyFont="1"/>
    <xf numFmtId="0" fontId="31" fillId="0" borderId="0" xfId="0" applyFont="1" applyAlignment="1">
      <alignment horizontal="right" readingOrder="1"/>
    </xf>
    <xf numFmtId="0" fontId="32" fillId="0" borderId="0" xfId="9" applyFont="1" applyAlignment="1" applyProtection="1">
      <alignment horizontal="right" vertical="center"/>
    </xf>
    <xf numFmtId="0" fontId="30" fillId="0" borderId="0" xfId="0" applyFont="1" applyAlignment="1">
      <alignment horizontal="right"/>
    </xf>
    <xf numFmtId="0" fontId="31" fillId="0" borderId="0" xfId="0" applyFont="1" applyAlignment="1">
      <alignment horizontal="left" readingOrder="1"/>
    </xf>
    <xf numFmtId="0" fontId="30" fillId="0" borderId="0" xfId="0" applyFont="1" applyAlignment="1"/>
    <xf numFmtId="177" fontId="20" fillId="4" borderId="3" xfId="10">
      <alignment horizontal="center"/>
    </xf>
    <xf numFmtId="0" fontId="21" fillId="5" borderId="6" xfId="13">
      <alignment horizontal="center" vertical="center"/>
    </xf>
    <xf numFmtId="164" fontId="5" fillId="0" borderId="14" xfId="11" applyFont="1" applyBorder="1">
      <alignment horizontal="left"/>
    </xf>
    <xf numFmtId="14" fontId="24" fillId="6" borderId="30" xfId="0" applyNumberFormat="1" applyFont="1" applyFill="1" applyBorder="1" applyAlignment="1" applyProtection="1">
      <alignment horizontal="center" vertical="center"/>
      <protection locked="0"/>
    </xf>
    <xf numFmtId="0" fontId="33" fillId="5" borderId="31" xfId="0" applyFont="1" applyFill="1" applyBorder="1" applyAlignment="1">
      <alignment vertical="center"/>
    </xf>
    <xf numFmtId="0" fontId="25" fillId="5" borderId="31" xfId="0" applyFont="1" applyFill="1" applyBorder="1" applyAlignment="1">
      <alignment vertical="center"/>
    </xf>
    <xf numFmtId="0" fontId="5" fillId="5" borderId="31" xfId="0" applyFont="1" applyFill="1" applyBorder="1" applyAlignment="1">
      <alignment horizontal="center" vertical="center"/>
    </xf>
    <xf numFmtId="0" fontId="5" fillId="5" borderId="31" xfId="0" applyFont="1" applyFill="1" applyBorder="1" applyAlignment="1">
      <alignment vertical="center"/>
    </xf>
    <xf numFmtId="0" fontId="21" fillId="5" borderId="32" xfId="0" applyFont="1" applyFill="1" applyBorder="1" applyAlignment="1">
      <alignment vertical="center"/>
    </xf>
    <xf numFmtId="0" fontId="0" fillId="5" borderId="32" xfId="0" applyFont="1" applyFill="1" applyBorder="1" applyAlignment="1">
      <alignment vertical="center"/>
    </xf>
    <xf numFmtId="0" fontId="33" fillId="5" borderId="32" xfId="0" applyFont="1" applyFill="1" applyBorder="1" applyAlignment="1">
      <alignment horizontal="center" vertical="center"/>
    </xf>
    <xf numFmtId="0" fontId="21" fillId="5" borderId="32" xfId="0" applyFont="1" applyFill="1" applyBorder="1" applyAlignment="1">
      <alignment horizontal="right" vertical="center"/>
    </xf>
    <xf numFmtId="0" fontId="2" fillId="0" borderId="0" xfId="0" applyFont="1" applyAlignment="1">
      <alignment horizontal="right" vertical="center"/>
    </xf>
    <xf numFmtId="0" fontId="20" fillId="0" borderId="5" xfId="6">
      <alignment horizontal="center" vertical="center"/>
    </xf>
    <xf numFmtId="0" fontId="0" fillId="0" borderId="9" xfId="0" applyBorder="1"/>
    <xf numFmtId="0" fontId="6" fillId="0" borderId="0" xfId="0" applyFont="1" applyAlignment="1">
      <alignment horizontal="center" vertical="top"/>
    </xf>
    <xf numFmtId="0" fontId="6" fillId="0" borderId="0" xfId="0" applyFont="1" applyAlignment="1">
      <alignment horizontal="left" vertical="center"/>
    </xf>
    <xf numFmtId="0" fontId="6" fillId="0" borderId="14" xfId="0" applyFont="1" applyBorder="1" applyAlignment="1">
      <alignment horizontal="left" vertical="center"/>
    </xf>
    <xf numFmtId="0" fontId="2" fillId="0" borderId="11" xfId="0" applyFont="1" applyBorder="1"/>
    <xf numFmtId="0" fontId="2" fillId="0" borderId="15" xfId="0" applyFont="1" applyBorder="1" applyAlignment="1">
      <alignment horizontal="center"/>
    </xf>
    <xf numFmtId="0" fontId="2" fillId="0" borderId="12" xfId="0" applyFont="1" applyBorder="1"/>
    <xf numFmtId="165" fontId="2" fillId="0" borderId="3" xfId="8" applyNumberFormat="1" applyFont="1">
      <alignment vertical="center"/>
    </xf>
    <xf numFmtId="0" fontId="6" fillId="0" borderId="0" xfId="0" applyFont="1" applyAlignment="1">
      <alignment horizontal="left"/>
    </xf>
    <xf numFmtId="0" fontId="2" fillId="0" borderId="0" xfId="0" applyFont="1" applyBorder="1" applyAlignment="1"/>
    <xf numFmtId="174" fontId="2" fillId="0" borderId="1" xfId="1" applyFont="1">
      <protection locked="0"/>
    </xf>
    <xf numFmtId="0" fontId="2" fillId="0" borderId="21" xfId="0" applyFont="1" applyBorder="1"/>
    <xf numFmtId="0" fontId="2" fillId="0" borderId="22" xfId="0" applyFont="1" applyBorder="1"/>
    <xf numFmtId="0" fontId="7" fillId="0" borderId="8" xfId="0" applyFont="1" applyBorder="1" applyAlignment="1">
      <alignment horizontal="left"/>
    </xf>
    <xf numFmtId="0" fontId="7" fillId="0" borderId="0" xfId="0" applyFont="1" applyBorder="1"/>
    <xf numFmtId="165" fontId="20" fillId="0" borderId="3" xfId="8" applyNumberFormat="1">
      <alignment vertical="center"/>
    </xf>
    <xf numFmtId="0" fontId="18" fillId="0" borderId="0" xfId="0" applyFont="1" applyBorder="1"/>
    <xf numFmtId="164" fontId="6" fillId="0" borderId="0" xfId="11" applyFont="1" applyBorder="1">
      <alignment horizontal="left"/>
    </xf>
    <xf numFmtId="164" fontId="11" fillId="0" borderId="0" xfId="11" applyFont="1" applyBorder="1">
      <alignment horizontal="left"/>
    </xf>
    <xf numFmtId="0" fontId="8" fillId="0" borderId="8" xfId="0" applyFont="1" applyBorder="1"/>
    <xf numFmtId="0" fontId="8" fillId="0" borderId="22" xfId="0" applyFont="1" applyBorder="1"/>
    <xf numFmtId="0" fontId="8" fillId="0" borderId="0" xfId="0" applyFont="1" applyBorder="1"/>
    <xf numFmtId="0" fontId="7" fillId="0" borderId="22" xfId="0" applyFont="1" applyBorder="1"/>
    <xf numFmtId="0" fontId="0" fillId="0" borderId="13" xfId="0" applyBorder="1"/>
    <xf numFmtId="0" fontId="0" fillId="0" borderId="3" xfId="0" applyBorder="1"/>
    <xf numFmtId="0" fontId="0" fillId="0" borderId="5" xfId="0" applyBorder="1"/>
    <xf numFmtId="164" fontId="5" fillId="0" borderId="23" xfId="11" applyFont="1" applyBorder="1">
      <alignment horizontal="left"/>
    </xf>
    <xf numFmtId="164" fontId="2" fillId="0" borderId="12" xfId="11" applyFont="1" applyBorder="1" applyAlignment="1">
      <alignment horizontal="left" wrapText="1"/>
    </xf>
    <xf numFmtId="164" fontId="2" fillId="0" borderId="24" xfId="11" applyFont="1" applyBorder="1">
      <alignment horizontal="left"/>
    </xf>
    <xf numFmtId="164" fontId="2" fillId="0" borderId="24" xfId="11" quotePrefix="1" applyFont="1" applyBorder="1">
      <alignment horizontal="left"/>
    </xf>
    <xf numFmtId="9" fontId="2" fillId="0" borderId="24" xfId="11" applyNumberFormat="1" applyFont="1" applyBorder="1">
      <alignment horizontal="left"/>
    </xf>
    <xf numFmtId="9" fontId="2" fillId="0" borderId="24" xfId="11" applyNumberFormat="1" applyFont="1" applyBorder="1" applyAlignment="1">
      <alignment horizontal="left" wrapText="1"/>
    </xf>
    <xf numFmtId="0" fontId="2" fillId="0" borderId="0" xfId="0" applyFont="1" applyBorder="1" applyAlignment="1">
      <alignment horizontal="left"/>
    </xf>
    <xf numFmtId="164" fontId="4" fillId="0" borderId="14" xfId="11" quotePrefix="1" applyFont="1" applyBorder="1">
      <alignment horizontal="left"/>
    </xf>
    <xf numFmtId="164" fontId="4" fillId="0" borderId="0" xfId="11" quotePrefix="1" applyFont="1" applyBorder="1">
      <alignment horizontal="left"/>
    </xf>
    <xf numFmtId="164" fontId="2" fillId="0" borderId="0" xfId="11" quotePrefix="1" applyFont="1" applyBorder="1">
      <alignment horizontal="left"/>
    </xf>
    <xf numFmtId="164" fontId="5" fillId="0" borderId="0" xfId="11" quotePrefix="1" applyFont="1" applyBorder="1">
      <alignment horizontal="left"/>
    </xf>
    <xf numFmtId="164" fontId="2" fillId="0" borderId="9" xfId="11" quotePrefix="1" applyFont="1" applyBorder="1">
      <alignment horizontal="left"/>
    </xf>
    <xf numFmtId="0" fontId="20" fillId="0" borderId="25" xfId="6" applyBorder="1">
      <alignment horizontal="center" vertical="center"/>
    </xf>
    <xf numFmtId="0" fontId="0" fillId="0" borderId="26" xfId="0" applyBorder="1"/>
    <xf numFmtId="164" fontId="2" fillId="0" borderId="9" xfId="11" applyFont="1" applyBorder="1">
      <alignment horizontal="left"/>
    </xf>
    <xf numFmtId="0" fontId="32" fillId="0" borderId="0" xfId="9" applyFont="1" applyAlignment="1" applyProtection="1">
      <alignment horizontal="right"/>
    </xf>
    <xf numFmtId="0" fontId="14" fillId="0" borderId="0" xfId="0" applyFont="1" applyBorder="1" applyAlignment="1">
      <alignment horizontal="right"/>
    </xf>
    <xf numFmtId="0" fontId="14" fillId="0" borderId="0" xfId="0" applyFont="1" applyAlignment="1">
      <alignment horizontal="right"/>
    </xf>
    <xf numFmtId="0" fontId="2" fillId="0" borderId="25" xfId="0" applyFont="1" applyBorder="1" applyAlignment="1">
      <alignment horizontal="center" vertical="center"/>
    </xf>
    <xf numFmtId="0" fontId="34" fillId="0" borderId="0" xfId="0" applyFont="1"/>
    <xf numFmtId="9" fontId="2" fillId="0" borderId="13" xfId="0" quotePrefix="1" applyNumberFormat="1" applyFont="1" applyBorder="1" applyAlignment="1">
      <alignment horizontal="left" vertical="top"/>
    </xf>
    <xf numFmtId="9" fontId="2" fillId="0" borderId="13" xfId="0" applyNumberFormat="1" applyFont="1" applyBorder="1" applyAlignment="1">
      <alignment horizontal="left" vertical="top" wrapText="1"/>
    </xf>
    <xf numFmtId="9" fontId="2" fillId="0" borderId="13" xfId="0" applyNumberFormat="1" applyFont="1" applyBorder="1" applyAlignment="1">
      <alignment horizontal="left" vertical="top"/>
    </xf>
    <xf numFmtId="0" fontId="2" fillId="0" borderId="11" xfId="0" applyFont="1" applyBorder="1" applyAlignment="1">
      <alignment horizontal="left" vertical="top"/>
    </xf>
    <xf numFmtId="0" fontId="2" fillId="0" borderId="11" xfId="0" applyFont="1" applyBorder="1" applyAlignment="1">
      <alignment horizontal="left" vertical="top" wrapText="1"/>
    </xf>
    <xf numFmtId="0" fontId="20" fillId="0" borderId="5" xfId="6" applyBorder="1">
      <alignment horizontal="center" vertical="center"/>
    </xf>
    <xf numFmtId="0" fontId="21" fillId="5" borderId="27" xfId="13" applyBorder="1">
      <alignment horizontal="center" vertical="center"/>
    </xf>
    <xf numFmtId="0" fontId="2" fillId="0" borderId="12" xfId="0" applyFont="1" applyFill="1" applyBorder="1"/>
    <xf numFmtId="165" fontId="2" fillId="0" borderId="8" xfId="3" applyNumberFormat="1" applyFont="1" applyFill="1" applyBorder="1" applyAlignment="1">
      <alignment horizontal="right"/>
    </xf>
    <xf numFmtId="0" fontId="0" fillId="0" borderId="0" xfId="0"/>
    <xf numFmtId="0" fontId="7" fillId="0" borderId="25" xfId="0" applyFont="1" applyBorder="1" applyAlignment="1">
      <alignment horizontal="center" vertical="center"/>
    </xf>
    <xf numFmtId="164" fontId="2" fillId="0" borderId="14" xfId="11" quotePrefix="1" applyFont="1" applyBorder="1">
      <alignment horizontal="left"/>
    </xf>
    <xf numFmtId="174" fontId="20" fillId="0" borderId="1" xfId="1" applyFill="1">
      <protection locked="0"/>
    </xf>
    <xf numFmtId="0" fontId="25" fillId="0" borderId="0" xfId="0" applyFont="1" applyAlignment="1">
      <alignment horizontal="right"/>
    </xf>
    <xf numFmtId="0" fontId="19" fillId="0" borderId="0" xfId="0" applyFont="1" applyBorder="1"/>
    <xf numFmtId="0" fontId="2" fillId="0" borderId="0" xfId="0" applyFont="1" applyBorder="1" applyAlignment="1">
      <alignment horizontal="right" vertical="center"/>
    </xf>
    <xf numFmtId="0" fontId="0" fillId="0" borderId="0" xfId="0" applyAlignment="1">
      <alignment horizontal="right"/>
    </xf>
    <xf numFmtId="0" fontId="0" fillId="0" borderId="14" xfId="0" applyBorder="1"/>
    <xf numFmtId="0" fontId="0" fillId="0" borderId="13" xfId="0" applyBorder="1" applyAlignment="1">
      <alignment horizontal="center" vertical="top"/>
    </xf>
    <xf numFmtId="0" fontId="0" fillId="0" borderId="13" xfId="0" applyBorder="1" applyAlignment="1">
      <alignment horizontal="center" wrapText="1"/>
    </xf>
    <xf numFmtId="0" fontId="0" fillId="0" borderId="9" xfId="0" applyBorder="1" applyAlignment="1">
      <alignment horizontal="center"/>
    </xf>
    <xf numFmtId="0" fontId="6" fillId="0" borderId="0" xfId="0" applyFont="1" applyBorder="1"/>
    <xf numFmtId="0" fontId="6" fillId="0" borderId="0" xfId="0" applyFont="1"/>
    <xf numFmtId="0" fontId="5" fillId="0" borderId="0" xfId="0" quotePrefix="1" applyFont="1" applyBorder="1"/>
    <xf numFmtId="0" fontId="0" fillId="0" borderId="0" xfId="0" quotePrefix="1" applyBorder="1"/>
    <xf numFmtId="0" fontId="11" fillId="0" borderId="0" xfId="0" applyFont="1" applyBorder="1"/>
    <xf numFmtId="0" fontId="2" fillId="0" borderId="16" xfId="0" applyFont="1" applyBorder="1"/>
    <xf numFmtId="0" fontId="0" fillId="0" borderId="16" xfId="0" applyBorder="1"/>
    <xf numFmtId="175" fontId="20" fillId="2" borderId="3" xfId="3" applyNumberFormat="1" applyAlignment="1">
      <alignment horizontal="center"/>
    </xf>
    <xf numFmtId="0" fontId="7" fillId="0" borderId="0" xfId="0" applyFont="1"/>
    <xf numFmtId="0" fontId="2" fillId="0" borderId="0" xfId="0" quotePrefix="1" applyFont="1" applyBorder="1"/>
    <xf numFmtId="164" fontId="2" fillId="0" borderId="0" xfId="11" applyFont="1" applyBorder="1">
      <alignment horizontal="left"/>
    </xf>
    <xf numFmtId="14" fontId="0" fillId="0" borderId="0" xfId="0" quotePrefix="1" applyNumberFormat="1" applyBorder="1"/>
    <xf numFmtId="0" fontId="0" fillId="0" borderId="22" xfId="0" applyBorder="1"/>
    <xf numFmtId="0" fontId="2" fillId="0" borderId="0" xfId="0" applyFont="1" applyFill="1" applyBorder="1"/>
    <xf numFmtId="175" fontId="2" fillId="2" borderId="3" xfId="3" quotePrefix="1" applyNumberFormat="1" applyFont="1" applyAlignment="1">
      <alignment horizontal="center"/>
    </xf>
    <xf numFmtId="176" fontId="20" fillId="2" borderId="3" xfId="3" applyNumberFormat="1" applyAlignment="1">
      <alignment horizontal="center"/>
    </xf>
    <xf numFmtId="0" fontId="7" fillId="0" borderId="0" xfId="0" applyFont="1" applyBorder="1" applyAlignment="1">
      <alignment horizontal="left"/>
    </xf>
    <xf numFmtId="14" fontId="0" fillId="0" borderId="0" xfId="0" quotePrefix="1" applyNumberFormat="1" applyFill="1" applyBorder="1"/>
    <xf numFmtId="0" fontId="11" fillId="0" borderId="0" xfId="0" applyFont="1" applyFill="1" applyBorder="1"/>
    <xf numFmtId="0" fontId="35" fillId="0" borderId="0" xfId="0" applyFont="1" applyFill="1" applyBorder="1"/>
    <xf numFmtId="0" fontId="0" fillId="0" borderId="0" xfId="0" applyFill="1" applyBorder="1"/>
    <xf numFmtId="175" fontId="2" fillId="0" borderId="8" xfId="3" applyNumberFormat="1" applyFont="1" applyFill="1" applyBorder="1" applyAlignment="1">
      <alignment horizontal="center"/>
    </xf>
    <xf numFmtId="0" fontId="2" fillId="0" borderId="16" xfId="0" applyFont="1" applyFill="1" applyBorder="1"/>
    <xf numFmtId="0" fontId="35" fillId="0" borderId="16" xfId="0" applyFont="1" applyFill="1" applyBorder="1"/>
    <xf numFmtId="0" fontId="0" fillId="0" borderId="16" xfId="0" applyFill="1" applyBorder="1"/>
    <xf numFmtId="175" fontId="20" fillId="2" borderId="3" xfId="3" applyNumberFormat="1">
      <alignment vertical="center"/>
    </xf>
    <xf numFmtId="0" fontId="2" fillId="7" borderId="16" xfId="0" applyFont="1" applyFill="1" applyBorder="1"/>
    <xf numFmtId="166" fontId="2" fillId="0" borderId="28" xfId="4" applyNumberFormat="1" applyFont="1" applyFill="1" applyBorder="1" applyAlignment="1">
      <alignment horizontal="right"/>
    </xf>
    <xf numFmtId="175" fontId="20" fillId="0" borderId="3" xfId="8" applyNumberFormat="1">
      <alignment vertical="center"/>
    </xf>
    <xf numFmtId="166" fontId="2" fillId="0" borderId="3" xfId="8" applyNumberFormat="1" applyFont="1" applyAlignment="1">
      <alignment horizontal="right"/>
    </xf>
    <xf numFmtId="0" fontId="0" fillId="0" borderId="9" xfId="0" quotePrefix="1" applyBorder="1"/>
    <xf numFmtId="175" fontId="20" fillId="2" borderId="3" xfId="3" applyNumberFormat="1" applyBorder="1" applyAlignment="1">
      <alignment horizontal="center"/>
    </xf>
    <xf numFmtId="2" fontId="20" fillId="0" borderId="1" xfId="1" applyNumberFormat="1">
      <protection locked="0"/>
    </xf>
    <xf numFmtId="0" fontId="0" fillId="0" borderId="0" xfId="0" quotePrefix="1"/>
    <xf numFmtId="0" fontId="0" fillId="0" borderId="0" xfId="0" applyFill="1"/>
    <xf numFmtId="165" fontId="2" fillId="0" borderId="3" xfId="3" applyNumberFormat="1" applyFont="1" applyFill="1" applyBorder="1" applyAlignment="1">
      <alignment horizontal="right"/>
    </xf>
    <xf numFmtId="0" fontId="7" fillId="0" borderId="0" xfId="0" quotePrefix="1" applyFont="1" applyBorder="1"/>
    <xf numFmtId="166" fontId="2" fillId="0" borderId="2" xfId="1" applyNumberFormat="1" applyFont="1" applyFill="1" applyBorder="1" applyAlignment="1">
      <alignment horizontal="right"/>
      <protection locked="0"/>
    </xf>
    <xf numFmtId="0" fontId="2" fillId="0" borderId="22" xfId="0" applyFont="1" applyFill="1" applyBorder="1"/>
    <xf numFmtId="0" fontId="0" fillId="0" borderId="22" xfId="0" applyFill="1" applyBorder="1"/>
    <xf numFmtId="0" fontId="35" fillId="0" borderId="22" xfId="0" applyFont="1" applyFill="1" applyBorder="1"/>
    <xf numFmtId="0" fontId="5" fillId="0" borderId="0" xfId="0" applyFont="1"/>
    <xf numFmtId="0" fontId="0" fillId="0" borderId="0" xfId="0" quotePrefix="1" applyAlignment="1">
      <alignment horizontal="right"/>
    </xf>
    <xf numFmtId="0" fontId="2" fillId="0" borderId="14" xfId="0" applyFont="1" applyBorder="1" applyAlignment="1">
      <alignment horizontal="center"/>
    </xf>
    <xf numFmtId="14" fontId="2" fillId="0" borderId="12" xfId="0" applyNumberFormat="1" applyFont="1" applyBorder="1" applyAlignment="1">
      <alignment horizontal="left"/>
    </xf>
    <xf numFmtId="171" fontId="7" fillId="0" borderId="15" xfId="0" applyNumberFormat="1" applyFont="1" applyBorder="1" applyAlignment="1">
      <alignment horizontal="left"/>
    </xf>
    <xf numFmtId="173" fontId="7" fillId="0" borderId="0" xfId="0" applyNumberFormat="1" applyFont="1" applyAlignment="1" applyProtection="1">
      <alignment horizontal="left"/>
    </xf>
    <xf numFmtId="0" fontId="20" fillId="0" borderId="10" xfId="6" applyBorder="1">
      <alignment horizontal="center" vertical="center"/>
    </xf>
    <xf numFmtId="174" fontId="20" fillId="2" borderId="3" xfId="3" applyNumberFormat="1">
      <alignment vertical="center"/>
    </xf>
    <xf numFmtId="174" fontId="20" fillId="0" borderId="4" xfId="4" applyFont="1"/>
    <xf numFmtId="0" fontId="2" fillId="5" borderId="0" xfId="0" applyFont="1" applyFill="1"/>
    <xf numFmtId="0" fontId="5" fillId="0" borderId="0" xfId="0" applyFont="1" applyAlignment="1">
      <alignment horizontal="center" vertical="top"/>
    </xf>
    <xf numFmtId="0" fontId="2" fillId="0" borderId="12" xfId="0" applyFont="1" applyBorder="1" applyAlignment="1"/>
    <xf numFmtId="0" fontId="2" fillId="0" borderId="8" xfId="0" applyFont="1" applyBorder="1" applyAlignment="1"/>
    <xf numFmtId="0" fontId="2" fillId="0" borderId="0" xfId="0" applyFont="1" applyAlignment="1"/>
    <xf numFmtId="0" fontId="2" fillId="0" borderId="0" xfId="0" quotePrefix="1" applyNumberFormat="1" applyFont="1" applyBorder="1" applyAlignment="1"/>
    <xf numFmtId="0" fontId="2" fillId="0" borderId="0" xfId="0" applyNumberFormat="1" applyFont="1" applyBorder="1" applyAlignment="1">
      <alignment vertical="center"/>
    </xf>
    <xf numFmtId="0" fontId="2" fillId="0" borderId="0" xfId="0" quotePrefix="1" applyNumberFormat="1" applyFont="1" applyBorder="1" applyAlignment="1">
      <alignment vertical="center"/>
    </xf>
    <xf numFmtId="0" fontId="2" fillId="0" borderId="0" xfId="0" applyNumberFormat="1" applyFont="1" applyAlignment="1">
      <alignment vertical="center"/>
    </xf>
    <xf numFmtId="0" fontId="2" fillId="0" borderId="14" xfId="0" applyNumberFormat="1" applyFont="1" applyBorder="1" applyAlignment="1">
      <alignment vertical="center"/>
    </xf>
    <xf numFmtId="0" fontId="2" fillId="0" borderId="9" xfId="0" applyNumberFormat="1" applyFont="1" applyBorder="1" applyAlignment="1">
      <alignment vertical="center"/>
    </xf>
    <xf numFmtId="0" fontId="2" fillId="0" borderId="9" xfId="0" quotePrefix="1" applyNumberFormat="1" applyFont="1" applyBorder="1" applyAlignment="1">
      <alignment vertical="center"/>
    </xf>
    <xf numFmtId="0" fontId="2" fillId="0" borderId="0" xfId="0" applyFont="1" applyAlignment="1">
      <alignment vertical="top"/>
    </xf>
    <xf numFmtId="174" fontId="2" fillId="0" borderId="3" xfId="8" applyFont="1" applyAlignment="1"/>
    <xf numFmtId="0" fontId="2" fillId="0" borderId="0" xfId="0" applyNumberFormat="1" applyFont="1" applyBorder="1" applyAlignment="1"/>
    <xf numFmtId="0" fontId="2" fillId="0" borderId="0" xfId="0" applyNumberFormat="1" applyFont="1" applyFill="1" applyBorder="1" applyAlignment="1"/>
    <xf numFmtId="0" fontId="2" fillId="0" borderId="9" xfId="0" quotePrefix="1" applyNumberFormat="1" applyFont="1" applyBorder="1" applyAlignment="1"/>
    <xf numFmtId="0" fontId="2" fillId="0" borderId="7" xfId="0" applyFont="1" applyBorder="1" applyAlignment="1">
      <alignment horizontal="center"/>
    </xf>
    <xf numFmtId="0" fontId="2" fillId="0" borderId="8" xfId="0" applyFont="1" applyBorder="1" applyAlignment="1">
      <alignment vertical="center"/>
    </xf>
    <xf numFmtId="0" fontId="6" fillId="0" borderId="0" xfId="0" applyNumberFormat="1" applyFont="1" applyBorder="1" applyAlignment="1">
      <alignment horizontal="left" wrapText="1"/>
    </xf>
    <xf numFmtId="0" fontId="11" fillId="0" borderId="0" xfId="0" quotePrefix="1" applyNumberFormat="1" applyFont="1" applyBorder="1" applyAlignment="1">
      <alignment wrapText="1"/>
    </xf>
    <xf numFmtId="0" fontId="2" fillId="0" borderId="0" xfId="0" quotePrefix="1" applyNumberFormat="1" applyFont="1" applyBorder="1" applyAlignment="1">
      <alignment wrapText="1"/>
    </xf>
    <xf numFmtId="0" fontId="2" fillId="0" borderId="0" xfId="0" applyNumberFormat="1" applyFont="1" applyBorder="1" applyAlignment="1">
      <alignment wrapText="1"/>
    </xf>
    <xf numFmtId="0" fontId="2" fillId="0" borderId="0" xfId="0" applyNumberFormat="1" applyFont="1" applyFill="1" applyBorder="1" applyAlignment="1">
      <alignment wrapText="1"/>
    </xf>
    <xf numFmtId="0" fontId="11" fillId="0" borderId="0" xfId="0" quotePrefix="1" applyNumberFormat="1" applyFont="1" applyFill="1" applyBorder="1" applyAlignment="1">
      <alignment wrapText="1"/>
    </xf>
    <xf numFmtId="0" fontId="5" fillId="0" borderId="0" xfId="0" quotePrefix="1" applyNumberFormat="1" applyFont="1" applyBorder="1" applyAlignment="1">
      <alignment vertical="center" wrapText="1"/>
    </xf>
    <xf numFmtId="0" fontId="5" fillId="0" borderId="0" xfId="0" applyNumberFormat="1" applyFont="1" applyFill="1" applyBorder="1" applyAlignment="1">
      <alignment wrapText="1"/>
    </xf>
    <xf numFmtId="0" fontId="5" fillId="0" borderId="0" xfId="0" applyNumberFormat="1" applyFont="1" applyFill="1" applyBorder="1" applyAlignment="1"/>
    <xf numFmtId="0" fontId="5" fillId="0" borderId="0" xfId="0" quotePrefix="1" applyNumberFormat="1" applyFont="1" applyFill="1" applyBorder="1" applyAlignment="1">
      <alignment wrapText="1"/>
    </xf>
    <xf numFmtId="0" fontId="5" fillId="0" borderId="0" xfId="0" quotePrefix="1" applyNumberFormat="1" applyFont="1" applyBorder="1" applyAlignment="1"/>
    <xf numFmtId="0" fontId="2" fillId="0" borderId="8" xfId="0" applyFont="1" applyBorder="1" applyAlignment="1">
      <alignment horizontal="left"/>
    </xf>
    <xf numFmtId="0" fontId="5" fillId="0" borderId="0" xfId="0" applyNumberFormat="1" applyFont="1" applyBorder="1" applyAlignment="1"/>
    <xf numFmtId="0" fontId="20" fillId="0" borderId="26" xfId="8" applyNumberFormat="1" applyFont="1" applyBorder="1" applyAlignment="1"/>
    <xf numFmtId="0" fontId="0" fillId="0" borderId="0" xfId="0"/>
    <xf numFmtId="174" fontId="20" fillId="0" borderId="4" xfId="4"/>
    <xf numFmtId="177" fontId="20" fillId="4" borderId="3" xfId="10">
      <alignment horizontal="center"/>
    </xf>
    <xf numFmtId="172" fontId="2" fillId="0" borderId="1" xfId="1" applyNumberFormat="1" applyFont="1">
      <protection locked="0"/>
    </xf>
    <xf numFmtId="174" fontId="20" fillId="0" borderId="3" xfId="8" applyAlignment="1"/>
    <xf numFmtId="172" fontId="2" fillId="0" borderId="3" xfId="8" applyNumberFormat="1" applyFont="1" applyAlignment="1"/>
    <xf numFmtId="0" fontId="2" fillId="0" borderId="0" xfId="0" applyFont="1" applyAlignment="1">
      <alignment vertical="center"/>
    </xf>
    <xf numFmtId="0" fontId="2" fillId="0" borderId="0" xfId="0" applyFont="1" applyBorder="1" applyAlignment="1">
      <alignment vertical="center"/>
    </xf>
    <xf numFmtId="0" fontId="21" fillId="5" borderId="6" xfId="13" applyAlignment="1">
      <alignment horizontal="center" vertical="center"/>
    </xf>
    <xf numFmtId="0" fontId="2" fillId="0" borderId="0" xfId="0" quotePrefix="1" applyFont="1"/>
    <xf numFmtId="0" fontId="5" fillId="0" borderId="18" xfId="0" applyFont="1" applyBorder="1"/>
    <xf numFmtId="0" fontId="36" fillId="0" borderId="0" xfId="0" applyFont="1"/>
    <xf numFmtId="0" fontId="0" fillId="0" borderId="0" xfId="0"/>
    <xf numFmtId="0" fontId="0" fillId="5" borderId="0" xfId="0" applyFont="1" applyFill="1" applyAlignment="1">
      <alignment horizontal="center" vertical="center"/>
    </xf>
    <xf numFmtId="0" fontId="0" fillId="5" borderId="0" xfId="0" applyFont="1" applyFill="1" applyAlignment="1">
      <alignment vertical="center"/>
    </xf>
    <xf numFmtId="178" fontId="37" fillId="5" borderId="0" xfId="0" applyNumberFormat="1" applyFont="1" applyFill="1" applyAlignment="1" applyProtection="1">
      <alignment horizontal="right"/>
      <protection locked="0" hidden="1"/>
    </xf>
    <xf numFmtId="174" fontId="20" fillId="7" borderId="1" xfId="1" applyFill="1">
      <protection locked="0"/>
    </xf>
    <xf numFmtId="0" fontId="2" fillId="7" borderId="0" xfId="0" applyFont="1" applyFill="1" applyBorder="1"/>
    <xf numFmtId="167" fontId="7" fillId="0" borderId="15" xfId="0" applyNumberFormat="1" applyFont="1" applyBorder="1" applyAlignment="1">
      <alignment horizontal="left"/>
    </xf>
    <xf numFmtId="0" fontId="35" fillId="0" borderId="12" xfId="0" applyFont="1" applyFill="1" applyBorder="1"/>
    <xf numFmtId="0" fontId="35" fillId="0" borderId="0" xfId="0" applyFont="1"/>
    <xf numFmtId="174" fontId="20" fillId="7" borderId="4" xfId="4" applyFill="1"/>
    <xf numFmtId="0" fontId="11" fillId="0" borderId="25" xfId="0" applyFont="1" applyBorder="1" applyAlignment="1" applyProtection="1">
      <alignment horizontal="center" vertical="center"/>
    </xf>
    <xf numFmtId="0" fontId="11" fillId="0" borderId="5" xfId="0" applyFont="1" applyBorder="1" applyAlignment="1">
      <alignment horizontal="center" vertical="center"/>
    </xf>
    <xf numFmtId="14" fontId="11" fillId="0" borderId="25" xfId="0" applyNumberFormat="1" applyFont="1" applyBorder="1" applyAlignment="1">
      <alignment horizontal="center" vertical="center"/>
    </xf>
    <xf numFmtId="0" fontId="2" fillId="0" borderId="25" xfId="0" applyFont="1" applyBorder="1" applyProtection="1"/>
    <xf numFmtId="0" fontId="0" fillId="0" borderId="0" xfId="0" applyBorder="1"/>
    <xf numFmtId="0" fontId="11" fillId="0" borderId="25" xfId="0" applyFont="1" applyBorder="1" applyAlignment="1">
      <alignment horizontal="center" vertical="center"/>
    </xf>
    <xf numFmtId="14" fontId="11" fillId="0" borderId="25" xfId="0" quotePrefix="1" applyNumberFormat="1" applyFont="1" applyBorder="1" applyAlignment="1" applyProtection="1">
      <alignment horizontal="center" vertical="center"/>
    </xf>
    <xf numFmtId="0" fontId="0" fillId="0" borderId="0" xfId="0"/>
    <xf numFmtId="180" fontId="2" fillId="0" borderId="4" xfId="5" applyFont="1" applyAlignment="1">
      <alignment horizontal="right"/>
    </xf>
    <xf numFmtId="174" fontId="20" fillId="0" borderId="4" xfId="4" applyFill="1"/>
    <xf numFmtId="0" fontId="2" fillId="0" borderId="8" xfId="0" applyFont="1" applyFill="1" applyBorder="1"/>
    <xf numFmtId="174" fontId="20" fillId="0" borderId="3" xfId="8" applyFill="1" applyAlignment="1"/>
    <xf numFmtId="0" fontId="20" fillId="0" borderId="26" xfId="8" applyNumberFormat="1" applyFont="1" applyBorder="1" applyAlignment="1" applyProtection="1"/>
    <xf numFmtId="174" fontId="2" fillId="0" borderId="1" xfId="1" applyFont="1" applyFill="1">
      <protection locked="0"/>
    </xf>
    <xf numFmtId="0" fontId="2" fillId="0" borderId="0" xfId="0" applyFont="1" applyFill="1"/>
    <xf numFmtId="0" fontId="2" fillId="0" borderId="0" xfId="0" applyFont="1" applyFill="1" applyBorder="1" applyAlignment="1"/>
    <xf numFmtId="0" fontId="2" fillId="0" borderId="0" xfId="0" applyFont="1" applyFill="1" applyBorder="1" applyAlignment="1">
      <alignment horizontal="left"/>
    </xf>
    <xf numFmtId="0" fontId="5" fillId="0" borderId="0" xfId="0" applyNumberFormat="1" applyFont="1" applyFill="1" applyBorder="1" applyAlignment="1">
      <alignment horizontal="left" indent="1"/>
    </xf>
    <xf numFmtId="0" fontId="2" fillId="0" borderId="12" xfId="0" applyFont="1" applyFill="1" applyBorder="1" applyAlignment="1">
      <alignment horizontal="left" indent="1"/>
    </xf>
    <xf numFmtId="174" fontId="20" fillId="0" borderId="3" xfId="8" applyAlignment="1">
      <alignment horizontal="left" indent="1"/>
    </xf>
    <xf numFmtId="0" fontId="0" fillId="0" borderId="0" xfId="0" applyAlignment="1">
      <alignment horizontal="left" indent="1"/>
    </xf>
    <xf numFmtId="0" fontId="2" fillId="0" borderId="0" xfId="0" applyFont="1" applyAlignment="1">
      <alignment horizontal="left" indent="1"/>
    </xf>
    <xf numFmtId="0" fontId="2" fillId="0" borderId="0" xfId="0" applyNumberFormat="1" applyFont="1" applyFill="1" applyBorder="1" applyAlignment="1">
      <alignment horizontal="left" wrapText="1"/>
    </xf>
    <xf numFmtId="174" fontId="38" fillId="0" borderId="3" xfId="8" applyFont="1" applyAlignment="1"/>
    <xf numFmtId="0" fontId="0" fillId="0" borderId="0" xfId="0" applyBorder="1" applyAlignment="1">
      <alignment wrapText="1"/>
    </xf>
    <xf numFmtId="0" fontId="35" fillId="0" borderId="0" xfId="0" applyFont="1" applyBorder="1" applyAlignment="1">
      <alignment wrapText="1"/>
    </xf>
    <xf numFmtId="0" fontId="0" fillId="0" borderId="12" xfId="0" applyFill="1" applyBorder="1"/>
    <xf numFmtId="174" fontId="2" fillId="0" borderId="4" xfId="4" applyFont="1" applyFill="1"/>
    <xf numFmtId="0" fontId="2" fillId="7" borderId="0" xfId="0" applyFont="1" applyFill="1"/>
    <xf numFmtId="0" fontId="21" fillId="0" borderId="0" xfId="0" applyFont="1" applyBorder="1" applyAlignment="1">
      <alignment wrapText="1"/>
    </xf>
    <xf numFmtId="14" fontId="33" fillId="0" borderId="0" xfId="0" quotePrefix="1" applyNumberFormat="1" applyFont="1" applyFill="1" applyBorder="1" applyAlignment="1">
      <alignment wrapText="1"/>
    </xf>
    <xf numFmtId="174" fontId="2" fillId="0" borderId="1" xfId="1" quotePrefix="1" applyFont="1" applyFill="1">
      <protection locked="0"/>
    </xf>
    <xf numFmtId="0" fontId="39" fillId="7" borderId="0" xfId="0" applyFont="1" applyFill="1" applyBorder="1"/>
    <xf numFmtId="0" fontId="0" fillId="0" borderId="0" xfId="0" applyNumberFormat="1" applyFont="1" applyFill="1" applyBorder="1" applyAlignment="1"/>
    <xf numFmtId="0" fontId="0" fillId="0" borderId="0" xfId="0" quotePrefix="1" applyNumberFormat="1" applyFont="1" applyFill="1" applyBorder="1" applyAlignment="1"/>
    <xf numFmtId="174" fontId="2" fillId="0" borderId="3" xfId="8" applyFont="1" applyFill="1" applyAlignment="1"/>
    <xf numFmtId="14" fontId="0" fillId="0" borderId="0" xfId="0" quotePrefix="1" applyNumberFormat="1" applyFont="1" applyFill="1" applyBorder="1" applyAlignment="1"/>
    <xf numFmtId="0" fontId="35" fillId="7" borderId="8" xfId="0" applyFont="1" applyFill="1" applyBorder="1"/>
    <xf numFmtId="0" fontId="0" fillId="0" borderId="0" xfId="0" quotePrefix="1" applyNumberFormat="1" applyFont="1" applyFill="1" applyBorder="1" applyAlignment="1">
      <alignment wrapText="1"/>
    </xf>
    <xf numFmtId="174" fontId="20" fillId="0" borderId="4" xfId="4" applyFont="1" applyFill="1"/>
    <xf numFmtId="0" fontId="5" fillId="0" borderId="0" xfId="0" quotePrefix="1" applyNumberFormat="1" applyFont="1" applyFill="1" applyBorder="1" applyAlignment="1">
      <alignment vertical="center"/>
    </xf>
    <xf numFmtId="0" fontId="2" fillId="0" borderId="12" xfId="0" applyFont="1" applyFill="1" applyBorder="1" applyAlignment="1"/>
    <xf numFmtId="174" fontId="20" fillId="0" borderId="4" xfId="4" applyFill="1" applyAlignment="1"/>
    <xf numFmtId="177" fontId="20" fillId="4" borderId="3" xfId="10" applyAlignment="1">
      <alignment horizontal="center"/>
    </xf>
    <xf numFmtId="0" fontId="2" fillId="0" borderId="0" xfId="0" quotePrefix="1" applyFont="1" applyBorder="1" applyAlignment="1">
      <alignment wrapText="1"/>
    </xf>
    <xf numFmtId="0" fontId="2" fillId="0" borderId="0" xfId="0" quotePrefix="1" applyNumberFormat="1" applyFont="1" applyFill="1" applyBorder="1" applyAlignment="1"/>
    <xf numFmtId="174" fontId="20" fillId="0" borderId="1" xfId="1" applyFont="1" applyFill="1">
      <protection locked="0"/>
    </xf>
    <xf numFmtId="0" fontId="0" fillId="0" borderId="26" xfId="0" applyFill="1" applyBorder="1"/>
    <xf numFmtId="0" fontId="34" fillId="0" borderId="0" xfId="0" applyNumberFormat="1" applyFont="1" applyFill="1" applyBorder="1" applyAlignment="1">
      <alignment horizontal="left"/>
    </xf>
    <xf numFmtId="0" fontId="11" fillId="0" borderId="0" xfId="0" applyNumberFormat="1" applyFont="1" applyFill="1" applyBorder="1" applyAlignment="1">
      <alignment horizontal="left"/>
    </xf>
    <xf numFmtId="174" fontId="2" fillId="0" borderId="0" xfId="8" quotePrefix="1" applyFont="1" applyBorder="1" applyAlignment="1">
      <alignment wrapText="1"/>
    </xf>
    <xf numFmtId="0" fontId="35" fillId="0" borderId="8" xfId="0" applyFont="1" applyBorder="1"/>
    <xf numFmtId="0" fontId="2" fillId="7" borderId="0" xfId="0" applyFont="1" applyFill="1" applyBorder="1" applyAlignment="1">
      <alignment wrapText="1"/>
    </xf>
    <xf numFmtId="0" fontId="35" fillId="0" borderId="8" xfId="0" applyFont="1" applyBorder="1" applyAlignment="1">
      <alignment wrapText="1"/>
    </xf>
    <xf numFmtId="0" fontId="35" fillId="7" borderId="0" xfId="0" applyFont="1" applyFill="1" applyBorder="1"/>
    <xf numFmtId="0" fontId="5"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35" fillId="0" borderId="0" xfId="0" applyFont="1" applyAlignment="1">
      <alignment vertical="center"/>
    </xf>
    <xf numFmtId="0" fontId="2" fillId="0" borderId="0" xfId="0" quotePrefix="1" applyFont="1" applyAlignment="1">
      <alignment vertical="center"/>
    </xf>
    <xf numFmtId="0" fontId="2" fillId="0" borderId="0" xfId="0" quotePrefix="1" applyFont="1" applyAlignment="1">
      <alignment vertical="center" wrapText="1"/>
    </xf>
    <xf numFmtId="174" fontId="2" fillId="0" borderId="0" xfId="8" applyFont="1" applyBorder="1" applyAlignment="1">
      <alignment wrapText="1"/>
    </xf>
    <xf numFmtId="0" fontId="6" fillId="0" borderId="0" xfId="0" applyNumberFormat="1" applyFont="1" applyBorder="1" applyAlignment="1">
      <alignment horizontal="left"/>
    </xf>
    <xf numFmtId="0" fontId="2" fillId="0" borderId="0" xfId="0" quotePrefix="1" applyFont="1" applyBorder="1" applyAlignment="1">
      <alignment vertical="center"/>
    </xf>
    <xf numFmtId="0" fontId="35" fillId="0" borderId="0" xfId="0" applyFont="1" applyBorder="1"/>
    <xf numFmtId="0" fontId="35" fillId="0" borderId="0" xfId="0" applyFont="1" applyAlignment="1">
      <alignment wrapText="1"/>
    </xf>
    <xf numFmtId="0" fontId="2" fillId="0" borderId="0" xfId="0" applyFont="1" applyAlignment="1">
      <alignment wrapText="1"/>
    </xf>
    <xf numFmtId="0" fontId="2" fillId="0" borderId="0" xfId="0" applyFont="1" applyAlignment="1">
      <alignment vertical="top" wrapText="1"/>
    </xf>
    <xf numFmtId="0" fontId="2" fillId="0" borderId="0" xfId="0" quotePrefix="1" applyNumberFormat="1" applyFont="1" applyBorder="1" applyAlignment="1">
      <alignment horizontal="right" vertical="center"/>
    </xf>
    <xf numFmtId="0" fontId="2" fillId="0" borderId="7" xfId="0" applyNumberFormat="1" applyFont="1" applyBorder="1" applyAlignment="1">
      <alignment vertical="center"/>
    </xf>
    <xf numFmtId="0" fontId="2" fillId="0" borderId="8" xfId="0" applyNumberFormat="1" applyFont="1" applyBorder="1" applyAlignment="1">
      <alignment vertical="center"/>
    </xf>
    <xf numFmtId="0" fontId="2" fillId="0" borderId="10" xfId="0" applyNumberFormat="1" applyFont="1" applyBorder="1" applyAlignment="1">
      <alignment vertical="center"/>
    </xf>
    <xf numFmtId="182" fontId="20" fillId="10" borderId="1" xfId="17"/>
    <xf numFmtId="0" fontId="2" fillId="0" borderId="0" xfId="0" applyFont="1" applyAlignment="1">
      <alignment horizontal="left" vertical="top"/>
    </xf>
    <xf numFmtId="0" fontId="2" fillId="0" borderId="0" xfId="0" applyFont="1" applyBorder="1" applyAlignment="1">
      <alignment horizontal="left" vertical="top"/>
    </xf>
    <xf numFmtId="0" fontId="2" fillId="0" borderId="10" xfId="0" applyFont="1" applyBorder="1" applyAlignment="1">
      <alignment horizontal="left" vertical="top"/>
    </xf>
    <xf numFmtId="0" fontId="2" fillId="0" borderId="8" xfId="0" applyFont="1" applyBorder="1" applyAlignment="1">
      <alignment horizontal="left" vertical="top"/>
    </xf>
    <xf numFmtId="0" fontId="2" fillId="0" borderId="7" xfId="0" applyFont="1" applyBorder="1" applyAlignment="1">
      <alignment horizontal="left" vertical="top"/>
    </xf>
    <xf numFmtId="0" fontId="2" fillId="0" borderId="0" xfId="0" quotePrefix="1" applyFont="1" applyBorder="1" applyAlignment="1">
      <alignment horizontal="left" vertical="top"/>
    </xf>
    <xf numFmtId="0" fontId="2" fillId="0" borderId="9" xfId="0" quotePrefix="1" applyFont="1" applyBorder="1" applyAlignment="1">
      <alignment horizontal="left" vertical="top"/>
    </xf>
    <xf numFmtId="0" fontId="11" fillId="0" borderId="0" xfId="0" applyNumberFormat="1" applyFont="1" applyBorder="1" applyAlignment="1">
      <alignment horizontal="left" wrapText="1"/>
    </xf>
    <xf numFmtId="165" fontId="2" fillId="0" borderId="3" xfId="8" applyNumberFormat="1" applyFont="1" applyAlignment="1"/>
    <xf numFmtId="0" fontId="2" fillId="0" borderId="0" xfId="0" quotePrefix="1" applyFont="1" applyBorder="1" applyAlignment="1">
      <alignment horizontal="left"/>
    </xf>
    <xf numFmtId="177" fontId="20" fillId="0" borderId="9" xfId="10" applyFill="1" applyBorder="1">
      <alignment horizontal="center"/>
    </xf>
    <xf numFmtId="0" fontId="2" fillId="0" borderId="9" xfId="0" quotePrefix="1" applyFont="1" applyBorder="1" applyAlignment="1">
      <alignment horizontal="left"/>
    </xf>
    <xf numFmtId="0" fontId="5" fillId="0" borderId="0" xfId="0" quotePrefix="1" applyFont="1" applyBorder="1" applyAlignment="1">
      <alignment horizontal="left" vertical="top"/>
    </xf>
    <xf numFmtId="14" fontId="2" fillId="0" borderId="0" xfId="0" quotePrefix="1" applyNumberFormat="1" applyFont="1" applyBorder="1" applyAlignment="1">
      <alignment horizontal="left" vertical="top"/>
    </xf>
    <xf numFmtId="0" fontId="41" fillId="0" borderId="0" xfId="0" applyFont="1"/>
    <xf numFmtId="0" fontId="2" fillId="0" borderId="9" xfId="0" applyFont="1" applyBorder="1" applyAlignment="1">
      <alignment horizontal="left" vertical="top"/>
    </xf>
    <xf numFmtId="0" fontId="2" fillId="0" borderId="7" xfId="0" applyFont="1" applyBorder="1" applyAlignment="1">
      <alignment horizontal="center" vertical="top"/>
    </xf>
    <xf numFmtId="0" fontId="2" fillId="0" borderId="14" xfId="0" applyFont="1" applyBorder="1" applyAlignment="1">
      <alignment horizontal="left" vertical="top"/>
    </xf>
    <xf numFmtId="0" fontId="2" fillId="0" borderId="25" xfId="0" applyFont="1" applyBorder="1" applyAlignment="1" applyProtection="1">
      <alignment horizontal="right"/>
    </xf>
    <xf numFmtId="0" fontId="2" fillId="0" borderId="0" xfId="0" applyFont="1" applyFill="1" applyBorder="1" applyAlignment="1">
      <alignment wrapText="1"/>
    </xf>
    <xf numFmtId="0" fontId="4" fillId="0" borderId="0" xfId="0" applyFont="1" applyBorder="1" applyAlignment="1">
      <alignment wrapText="1"/>
    </xf>
    <xf numFmtId="0" fontId="2" fillId="8" borderId="0" xfId="0" applyNumberFormat="1" applyFont="1" applyFill="1" applyBorder="1" applyAlignment="1">
      <alignment vertical="center"/>
    </xf>
    <xf numFmtId="0" fontId="2" fillId="3" borderId="0" xfId="0" applyNumberFormat="1" applyFont="1" applyFill="1" applyAlignment="1">
      <alignment vertical="center"/>
    </xf>
    <xf numFmtId="14" fontId="5" fillId="3" borderId="0" xfId="0" quotePrefix="1" applyNumberFormat="1" applyFont="1" applyFill="1" applyBorder="1" applyAlignment="1">
      <alignment horizontal="left"/>
    </xf>
    <xf numFmtId="14" fontId="2" fillId="3" borderId="0" xfId="0" quotePrefix="1" applyNumberFormat="1" applyFont="1" applyFill="1" applyBorder="1" applyAlignment="1">
      <alignment horizontal="left"/>
    </xf>
    <xf numFmtId="180" fontId="2" fillId="0" borderId="2" xfId="21">
      <alignment horizontal="right"/>
      <protection locked="0"/>
    </xf>
    <xf numFmtId="0" fontId="5" fillId="3" borderId="0" xfId="0" applyNumberFormat="1" applyFont="1" applyFill="1" applyBorder="1" applyAlignment="1">
      <alignment horizontal="left"/>
    </xf>
    <xf numFmtId="181" fontId="20" fillId="10" borderId="1" xfId="22"/>
    <xf numFmtId="0" fontId="5" fillId="3" borderId="0" xfId="0" quotePrefix="1" applyNumberFormat="1" applyFont="1" applyFill="1" applyBorder="1" applyAlignment="1">
      <alignment horizontal="left"/>
    </xf>
    <xf numFmtId="0" fontId="2" fillId="3" borderId="0" xfId="0" quotePrefix="1" applyNumberFormat="1" applyFont="1" applyFill="1" applyBorder="1" applyAlignment="1">
      <alignment horizontal="left"/>
    </xf>
    <xf numFmtId="0" fontId="2" fillId="3" borderId="0" xfId="0" applyNumberFormat="1" applyFont="1" applyFill="1" applyBorder="1" applyAlignment="1">
      <alignment horizontal="left"/>
    </xf>
    <xf numFmtId="181" fontId="20" fillId="10" borderId="1" xfId="22" applyNumberFormat="1"/>
    <xf numFmtId="0" fontId="11" fillId="0" borderId="0" xfId="0" applyNumberFormat="1" applyFont="1" applyFill="1" applyBorder="1" applyAlignment="1">
      <alignment horizontal="left" vertical="top" wrapText="1"/>
    </xf>
    <xf numFmtId="180" fontId="20" fillId="0" borderId="4" xfId="5"/>
    <xf numFmtId="0" fontId="6" fillId="0" borderId="25" xfId="0" applyFont="1" applyBorder="1" applyAlignment="1" applyProtection="1">
      <alignment horizontal="center" vertical="center"/>
    </xf>
    <xf numFmtId="164" fontId="2" fillId="0" borderId="16" xfId="11" applyFont="1" applyBorder="1">
      <alignment horizontal="left"/>
    </xf>
    <xf numFmtId="164" fontId="2" fillId="0" borderId="22" xfId="11" applyFont="1" applyBorder="1" applyAlignment="1">
      <alignment horizontal="left" indent="1"/>
    </xf>
    <xf numFmtId="167" fontId="7" fillId="0" borderId="0" xfId="0" applyNumberFormat="1" applyFont="1" applyBorder="1" applyAlignment="1">
      <alignment horizontal="left"/>
    </xf>
    <xf numFmtId="171" fontId="7" fillId="0" borderId="15" xfId="0" quotePrefix="1" applyNumberFormat="1" applyFont="1" applyFill="1" applyBorder="1" applyAlignment="1">
      <alignment horizontal="left"/>
    </xf>
    <xf numFmtId="171" fontId="7" fillId="0" borderId="0" xfId="0" quotePrefix="1" applyNumberFormat="1" applyFont="1" applyFill="1" applyAlignment="1">
      <alignment horizontal="left"/>
    </xf>
    <xf numFmtId="0" fontId="6" fillId="0" borderId="5" xfId="0" applyFont="1" applyBorder="1" applyAlignment="1">
      <alignment horizontal="center" vertical="center"/>
    </xf>
    <xf numFmtId="14" fontId="6" fillId="0" borderId="25" xfId="0" applyNumberFormat="1" applyFont="1" applyBorder="1" applyAlignment="1">
      <alignment horizontal="center" vertical="center"/>
    </xf>
    <xf numFmtId="0" fontId="2" fillId="0" borderId="0" xfId="0" applyFont="1" applyFill="1" applyBorder="1" applyAlignment="1">
      <alignment vertical="top" wrapText="1"/>
    </xf>
    <xf numFmtId="174" fontId="20" fillId="0" borderId="3" xfId="8" applyNumberFormat="1">
      <alignment vertical="center"/>
    </xf>
    <xf numFmtId="175" fontId="20" fillId="0" borderId="3" xfId="8" applyNumberFormat="1" applyAlignment="1">
      <alignment horizontal="center"/>
    </xf>
    <xf numFmtId="174" fontId="20" fillId="0" borderId="1" xfId="1" quotePrefix="1">
      <protection locked="0"/>
    </xf>
    <xf numFmtId="0" fontId="0" fillId="0" borderId="0" xfId="0"/>
    <xf numFmtId="0" fontId="2" fillId="0" borderId="0" xfId="0" quotePrefix="1" applyNumberFormat="1" applyFont="1" applyFill="1" applyBorder="1" applyAlignment="1">
      <alignment horizontal="left" wrapText="1"/>
    </xf>
    <xf numFmtId="0" fontId="0" fillId="0" borderId="0" xfId="0" quotePrefix="1" applyNumberFormat="1" applyFont="1" applyFill="1" applyBorder="1" applyAlignment="1">
      <alignment horizontal="left" wrapText="1"/>
    </xf>
    <xf numFmtId="0" fontId="0" fillId="0" borderId="0" xfId="0" quotePrefix="1" applyFill="1"/>
    <xf numFmtId="0" fontId="33" fillId="0" borderId="0" xfId="0" quotePrefix="1" applyNumberFormat="1" applyFont="1" applyFill="1" applyBorder="1" applyAlignment="1">
      <alignment wrapText="1"/>
    </xf>
    <xf numFmtId="0" fontId="5" fillId="0" borderId="0" xfId="0" quotePrefix="1" applyNumberFormat="1" applyFont="1" applyFill="1" applyBorder="1" applyAlignment="1"/>
    <xf numFmtId="0" fontId="2" fillId="0" borderId="9" xfId="0" quotePrefix="1" applyNumberFormat="1" applyFont="1" applyFill="1" applyBorder="1" applyAlignment="1"/>
    <xf numFmtId="0" fontId="33" fillId="0" borderId="0" xfId="0" applyNumberFormat="1" applyFont="1" applyFill="1" applyBorder="1" applyAlignment="1"/>
    <xf numFmtId="0" fontId="11" fillId="0" borderId="0" xfId="0" quotePrefix="1" applyNumberFormat="1" applyFont="1" applyFill="1" applyBorder="1" applyAlignment="1"/>
    <xf numFmtId="0" fontId="33" fillId="0" borderId="0" xfId="0" applyFont="1" applyFill="1"/>
    <xf numFmtId="14" fontId="2" fillId="0" borderId="0" xfId="0" quotePrefix="1" applyNumberFormat="1" applyFont="1" applyFill="1" applyBorder="1" applyAlignment="1">
      <alignment horizontal="left"/>
    </xf>
    <xf numFmtId="0" fontId="2" fillId="0" borderId="0" xfId="0" quotePrefix="1" applyNumberFormat="1" applyFont="1" applyFill="1" applyBorder="1" applyAlignment="1">
      <alignment horizontal="left"/>
    </xf>
    <xf numFmtId="0" fontId="6" fillId="0" borderId="0" xfId="0" quotePrefix="1" applyNumberFormat="1" applyFont="1" applyFill="1" applyBorder="1" applyAlignment="1"/>
    <xf numFmtId="0" fontId="0" fillId="0" borderId="3" xfId="8" applyNumberFormat="1" applyFont="1" applyAlignment="1"/>
    <xf numFmtId="0" fontId="2" fillId="0" borderId="16" xfId="0" applyFont="1" applyBorder="1" applyAlignment="1"/>
    <xf numFmtId="0" fontId="11" fillId="0" borderId="16" xfId="0" applyFont="1" applyBorder="1" applyAlignment="1">
      <alignment wrapText="1"/>
    </xf>
    <xf numFmtId="0" fontId="2" fillId="0" borderId="22" xfId="0" applyFont="1" applyBorder="1" applyAlignment="1">
      <alignment horizontal="left" indent="1"/>
    </xf>
    <xf numFmtId="0" fontId="2" fillId="0" borderId="22" xfId="0" applyFont="1" applyFill="1" applyBorder="1" applyAlignment="1">
      <alignment horizontal="left" indent="1"/>
    </xf>
    <xf numFmtId="0" fontId="0" fillId="0" borderId="0" xfId="0"/>
    <xf numFmtId="0" fontId="2" fillId="0" borderId="14" xfId="0" applyFont="1" applyBorder="1"/>
    <xf numFmtId="0" fontId="20" fillId="0" borderId="3" xfId="8" applyNumberFormat="1" applyFont="1" applyAlignment="1"/>
    <xf numFmtId="165" fontId="2" fillId="0" borderId="3" xfId="8" applyNumberFormat="1" applyFont="1" applyBorder="1">
      <alignment vertical="center"/>
    </xf>
    <xf numFmtId="181" fontId="20" fillId="0" borderId="1" xfId="23">
      <protection locked="0"/>
    </xf>
    <xf numFmtId="49" fontId="20" fillId="0" borderId="1" xfId="24">
      <alignment horizontal="center"/>
      <protection locked="0"/>
    </xf>
    <xf numFmtId="0" fontId="6" fillId="0" borderId="0" xfId="0" applyNumberFormat="1" applyFont="1" applyFill="1" applyBorder="1" applyAlignment="1">
      <alignment horizontal="left" wrapText="1"/>
    </xf>
    <xf numFmtId="0" fontId="2" fillId="0" borderId="0" xfId="0" quotePrefix="1" applyNumberFormat="1" applyFont="1" applyFill="1" applyBorder="1" applyAlignment="1">
      <alignment wrapText="1"/>
    </xf>
    <xf numFmtId="0" fontId="2" fillId="0" borderId="0" xfId="0" quotePrefix="1" applyFont="1" applyFill="1"/>
    <xf numFmtId="0" fontId="20" fillId="0" borderId="1" xfId="14" applyFill="1">
      <alignment horizontal="center" wrapText="1"/>
      <protection locked="0"/>
    </xf>
    <xf numFmtId="49" fontId="20" fillId="0" borderId="1" xfId="25">
      <alignment horizontal="center" wrapText="1"/>
      <protection locked="0"/>
    </xf>
    <xf numFmtId="0" fontId="20" fillId="0" borderId="3" xfId="8" applyNumberFormat="1" applyAlignment="1">
      <alignment horizontal="center" wrapText="1"/>
    </xf>
    <xf numFmtId="0" fontId="2" fillId="0" borderId="0" xfId="0" quotePrefix="1" applyNumberFormat="1" applyFont="1" applyFill="1" applyBorder="1" applyAlignment="1">
      <alignment vertical="top"/>
    </xf>
    <xf numFmtId="174" fontId="20" fillId="0" borderId="4" xfId="4" quotePrefix="1" applyFill="1"/>
    <xf numFmtId="174" fontId="20" fillId="0" borderId="3" xfId="8" quotePrefix="1" applyNumberFormat="1" applyAlignment="1">
      <alignment horizontal="center" vertical="center"/>
    </xf>
    <xf numFmtId="174" fontId="20" fillId="0" borderId="1" xfId="1" quotePrefix="1" applyFill="1">
      <protection locked="0"/>
    </xf>
    <xf numFmtId="2" fontId="2" fillId="0" borderId="0" xfId="0" applyNumberFormat="1" applyFont="1" applyFill="1"/>
    <xf numFmtId="2" fontId="2" fillId="0" borderId="12" xfId="0" applyNumberFormat="1" applyFont="1" applyFill="1" applyBorder="1" applyAlignment="1">
      <alignment horizontal="left"/>
    </xf>
    <xf numFmtId="164" fontId="5" fillId="0" borderId="21" xfId="11" applyFont="1" applyFill="1" applyBorder="1">
      <alignment horizontal="left"/>
    </xf>
    <xf numFmtId="164" fontId="2" fillId="0" borderId="16" xfId="11" applyFont="1" applyFill="1" applyBorder="1">
      <alignment horizontal="left"/>
    </xf>
    <xf numFmtId="164" fontId="2" fillId="0" borderId="22" xfId="11" applyFont="1" applyFill="1" applyBorder="1" applyAlignment="1">
      <alignment horizontal="left"/>
    </xf>
    <xf numFmtId="164" fontId="2" fillId="0" borderId="22" xfId="11" applyFont="1" applyFill="1" applyBorder="1" applyAlignment="1">
      <alignment horizontal="left" indent="1"/>
    </xf>
    <xf numFmtId="9" fontId="2" fillId="0" borderId="16" xfId="11" applyNumberFormat="1" applyFont="1" applyFill="1" applyBorder="1" applyAlignment="1">
      <alignment horizontal="left" indent="1"/>
    </xf>
    <xf numFmtId="9" fontId="2" fillId="0" borderId="16" xfId="11" applyNumberFormat="1" applyFont="1" applyFill="1" applyBorder="1" applyAlignment="1">
      <alignment horizontal="left"/>
    </xf>
    <xf numFmtId="0" fontId="2" fillId="0" borderId="0" xfId="0" applyFont="1"/>
    <xf numFmtId="179" fontId="2" fillId="0" borderId="0" xfId="15" applyNumberFormat="1" applyFont="1"/>
    <xf numFmtId="0" fontId="2" fillId="0" borderId="9" xfId="0" applyFont="1" applyFill="1" applyBorder="1"/>
    <xf numFmtId="14" fontId="33" fillId="0" borderId="0" xfId="0" quotePrefix="1" applyNumberFormat="1" applyFont="1" applyFill="1" applyBorder="1" applyAlignment="1"/>
    <xf numFmtId="0" fontId="0" fillId="0" borderId="0" xfId="0" applyFill="1"/>
    <xf numFmtId="0" fontId="11" fillId="0" borderId="0" xfId="0" quotePrefix="1" applyNumberFormat="1" applyFont="1" applyFill="1" applyBorder="1" applyAlignment="1">
      <alignment horizontal="left" vertical="top" wrapText="1"/>
    </xf>
    <xf numFmtId="0" fontId="24" fillId="0" borderId="0" xfId="0" quotePrefix="1" applyNumberFormat="1" applyFont="1" applyFill="1" applyBorder="1" applyAlignment="1">
      <alignment wrapText="1"/>
    </xf>
    <xf numFmtId="182" fontId="20" fillId="0" borderId="1" xfId="26">
      <alignment horizontal="center"/>
      <protection locked="0"/>
    </xf>
    <xf numFmtId="182" fontId="20" fillId="11" borderId="1" xfId="17" applyFill="1"/>
    <xf numFmtId="182" fontId="0" fillId="11" borderId="1" xfId="17" applyFont="1" applyFill="1" applyAlignment="1">
      <alignment wrapText="1"/>
    </xf>
    <xf numFmtId="180" fontId="2" fillId="0" borderId="2" xfId="21" applyFill="1">
      <alignment horizontal="right"/>
      <protection locked="0"/>
    </xf>
    <xf numFmtId="181" fontId="20" fillId="11" borderId="1" xfId="22" applyFill="1"/>
    <xf numFmtId="181" fontId="20" fillId="11" borderId="1" xfId="22" quotePrefix="1" applyFill="1"/>
    <xf numFmtId="0" fontId="5" fillId="0" borderId="0" xfId="0" quotePrefix="1" applyNumberFormat="1" applyFont="1" applyFill="1" applyBorder="1" applyAlignment="1">
      <alignment horizontal="left"/>
    </xf>
    <xf numFmtId="181" fontId="20" fillId="0" borderId="34" xfId="8" applyNumberFormat="1" applyBorder="1" applyAlignment="1"/>
    <xf numFmtId="181" fontId="0" fillId="0" borderId="0" xfId="0" applyNumberFormat="1"/>
    <xf numFmtId="0" fontId="0" fillId="0" borderId="21" xfId="0" applyFont="1" applyFill="1" applyBorder="1" applyAlignment="1">
      <alignment horizontal="left" wrapText="1" indent="2"/>
    </xf>
    <xf numFmtId="179" fontId="0" fillId="0" borderId="0" xfId="15" quotePrefix="1" applyNumberFormat="1" applyFont="1"/>
    <xf numFmtId="0" fontId="2" fillId="0" borderId="0" xfId="0" applyNumberFormat="1" applyFont="1" applyFill="1" applyBorder="1" applyAlignment="1">
      <alignment vertical="center"/>
    </xf>
    <xf numFmtId="0" fontId="2" fillId="0" borderId="0" xfId="0" quotePrefix="1" applyFont="1" applyFill="1" applyBorder="1"/>
    <xf numFmtId="0" fontId="0" fillId="0" borderId="0" xfId="0" quotePrefix="1" applyFill="1" applyBorder="1"/>
    <xf numFmtId="180" fontId="20" fillId="0" borderId="4" xfId="5" applyFill="1"/>
    <xf numFmtId="0" fontId="2" fillId="0" borderId="0" xfId="0" applyNumberFormat="1" applyFont="1" applyFill="1" applyBorder="1" applyAlignment="1">
      <alignment vertical="center" wrapText="1"/>
    </xf>
    <xf numFmtId="0" fontId="0" fillId="0" borderId="0" xfId="0"/>
    <xf numFmtId="174" fontId="20" fillId="0" borderId="4" xfId="4" quotePrefix="1" applyFill="1" applyAlignment="1">
      <alignment wrapText="1"/>
    </xf>
    <xf numFmtId="14" fontId="2" fillId="8" borderId="0" xfId="0" quotePrefix="1" applyNumberFormat="1" applyFont="1" applyFill="1" applyBorder="1" applyAlignment="1">
      <alignment horizontal="left"/>
    </xf>
    <xf numFmtId="0" fontId="21" fillId="5" borderId="6" xfId="13" applyFill="1">
      <alignment horizontal="center" vertical="center"/>
    </xf>
    <xf numFmtId="0" fontId="2" fillId="0" borderId="22" xfId="0" applyFont="1" applyFill="1" applyBorder="1" applyAlignment="1">
      <alignment horizontal="left" indent="2"/>
    </xf>
    <xf numFmtId="0" fontId="2" fillId="0" borderId="0" xfId="0" applyFont="1" applyBorder="1" applyAlignment="1">
      <alignment wrapText="1"/>
    </xf>
    <xf numFmtId="0" fontId="2" fillId="0" borderId="0" xfId="0" applyFont="1" applyBorder="1" applyAlignment="1"/>
    <xf numFmtId="0" fontId="0" fillId="0" borderId="0" xfId="0"/>
    <xf numFmtId="0" fontId="2" fillId="0" borderId="0" xfId="0" applyFont="1" applyBorder="1" applyAlignment="1">
      <alignment horizontal="left"/>
    </xf>
    <xf numFmtId="0" fontId="2" fillId="0" borderId="14" xfId="0" applyFont="1" applyBorder="1"/>
    <xf numFmtId="49" fontId="20" fillId="10" borderId="3" xfId="20"/>
    <xf numFmtId="177" fontId="2" fillId="4" borderId="3" xfId="10" applyFont="1">
      <alignment horizontal="center"/>
    </xf>
    <xf numFmtId="177" fontId="2" fillId="4" borderId="3" xfId="10" applyFont="1" applyAlignment="1">
      <alignment horizontal="center"/>
    </xf>
    <xf numFmtId="177" fontId="2" fillId="0" borderId="9" xfId="10" applyFont="1" applyFill="1" applyBorder="1">
      <alignment horizontal="center"/>
    </xf>
    <xf numFmtId="177" fontId="2" fillId="4" borderId="3" xfId="10" applyFont="1" applyAlignment="1">
      <alignment horizontal="left" indent="1"/>
    </xf>
    <xf numFmtId="177" fontId="2" fillId="4" borderId="3" xfId="10" applyFont="1" applyBorder="1">
      <alignment horizontal="center"/>
    </xf>
    <xf numFmtId="177" fontId="20" fillId="0" borderId="3" xfId="10" applyFill="1">
      <alignment horizontal="center"/>
    </xf>
    <xf numFmtId="177" fontId="20" fillId="4" borderId="3" xfId="10" applyBorder="1">
      <alignment horizontal="center"/>
    </xf>
    <xf numFmtId="0" fontId="5" fillId="8" borderId="0" xfId="0" applyNumberFormat="1" applyFont="1" applyFill="1" applyBorder="1" applyAlignment="1">
      <alignment horizontal="left"/>
    </xf>
    <xf numFmtId="0" fontId="5" fillId="8" borderId="0" xfId="0" quotePrefix="1" applyNumberFormat="1" applyFont="1" applyFill="1" applyBorder="1" applyAlignment="1">
      <alignment horizontal="left"/>
    </xf>
    <xf numFmtId="0" fontId="20" fillId="4" borderId="3" xfId="10" applyNumberFormat="1">
      <alignment horizontal="center"/>
    </xf>
    <xf numFmtId="0" fontId="11" fillId="0" borderId="0" xfId="0" quotePrefix="1" applyNumberFormat="1" applyFont="1" applyFill="1" applyBorder="1" applyAlignment="1">
      <alignment horizontal="left"/>
    </xf>
    <xf numFmtId="0" fontId="2" fillId="8" borderId="0" xfId="0" quotePrefix="1" applyFont="1" applyFill="1" applyAlignment="1">
      <alignment horizontal="left" vertical="top"/>
    </xf>
    <xf numFmtId="0" fontId="0" fillId="0" borderId="0" xfId="0"/>
    <xf numFmtId="0" fontId="23" fillId="0" borderId="0" xfId="12" applyAlignment="1">
      <alignment wrapText="1"/>
    </xf>
    <xf numFmtId="0" fontId="0" fillId="6" borderId="0" xfId="0" applyFont="1" applyFill="1" applyBorder="1" applyAlignment="1" applyProtection="1">
      <alignment horizontal="left"/>
      <protection locked="0"/>
    </xf>
    <xf numFmtId="0" fontId="5" fillId="0" borderId="26" xfId="0" applyFont="1" applyBorder="1" applyAlignment="1">
      <alignment horizontal="left"/>
    </xf>
    <xf numFmtId="0" fontId="2" fillId="0" borderId="22" xfId="0" applyFont="1" applyBorder="1" applyAlignment="1"/>
    <xf numFmtId="0" fontId="11" fillId="0" borderId="16" xfId="0" applyFont="1" applyBorder="1" applyAlignment="1">
      <alignment wrapText="1"/>
    </xf>
    <xf numFmtId="0" fontId="11" fillId="0" borderId="16" xfId="0" applyFont="1" applyBorder="1" applyAlignment="1"/>
    <xf numFmtId="0" fontId="11" fillId="0" borderId="0" xfId="0" applyFont="1" applyBorder="1" applyAlignment="1">
      <alignment wrapText="1"/>
    </xf>
    <xf numFmtId="0" fontId="11" fillId="0" borderId="0" xfId="0" applyFont="1" applyBorder="1" applyAlignment="1"/>
    <xf numFmtId="0" fontId="2" fillId="0" borderId="16" xfId="0" applyFont="1" applyBorder="1" applyAlignment="1"/>
    <xf numFmtId="0" fontId="11" fillId="0" borderId="22" xfId="0" applyFont="1" applyFill="1" applyBorder="1" applyAlignment="1"/>
    <xf numFmtId="0" fontId="11" fillId="0" borderId="22" xfId="0" applyFont="1" applyFill="1" applyBorder="1" applyAlignment="1">
      <alignment wrapText="1"/>
    </xf>
    <xf numFmtId="0" fontId="11" fillId="0" borderId="22" xfId="0" applyFont="1" applyBorder="1" applyAlignment="1">
      <alignment wrapText="1"/>
    </xf>
    <xf numFmtId="0" fontId="11" fillId="0" borderId="22" xfId="0" applyFont="1" applyBorder="1" applyAlignment="1"/>
    <xf numFmtId="0" fontId="2" fillId="0" borderId="21" xfId="0" applyFont="1" applyBorder="1" applyAlignment="1">
      <alignment horizontal="left"/>
    </xf>
    <xf numFmtId="0" fontId="5" fillId="0" borderId="21" xfId="0" applyFont="1" applyFill="1" applyBorder="1" applyAlignment="1">
      <alignment horizontal="left"/>
    </xf>
    <xf numFmtId="0" fontId="2" fillId="0" borderId="16" xfId="0" applyFont="1" applyFill="1" applyBorder="1" applyAlignment="1">
      <alignment horizontal="left" indent="1"/>
    </xf>
    <xf numFmtId="0" fontId="2" fillId="0" borderId="22" xfId="0" applyFont="1" applyFill="1" applyBorder="1" applyAlignment="1">
      <alignment horizontal="left" indent="1"/>
    </xf>
    <xf numFmtId="0" fontId="6" fillId="0" borderId="21" xfId="0" applyFont="1" applyBorder="1" applyAlignment="1">
      <alignment horizontal="left" wrapText="1"/>
    </xf>
    <xf numFmtId="0" fontId="2" fillId="0" borderId="22" xfId="0" applyFont="1" applyFill="1" applyBorder="1" applyAlignment="1">
      <alignment horizontal="left" indent="2"/>
    </xf>
    <xf numFmtId="0" fontId="2" fillId="0" borderId="26" xfId="0" applyFont="1" applyBorder="1" applyAlignment="1">
      <alignment horizontal="left"/>
    </xf>
    <xf numFmtId="0" fontId="2" fillId="0" borderId="14" xfId="0" applyFont="1" applyBorder="1" applyAlignment="1">
      <alignment horizontal="left"/>
    </xf>
    <xf numFmtId="0" fontId="5" fillId="0" borderId="0" xfId="0" applyFont="1" applyFill="1" applyBorder="1" applyAlignment="1">
      <alignment horizontal="left" indent="1"/>
    </xf>
    <xf numFmtId="0" fontId="2" fillId="0" borderId="16" xfId="0" applyFont="1" applyFill="1" applyBorder="1" applyAlignment="1">
      <alignment horizontal="left" indent="2"/>
    </xf>
    <xf numFmtId="0" fontId="11" fillId="0" borderId="21" xfId="0" applyFont="1" applyFill="1" applyBorder="1" applyAlignment="1">
      <alignment horizontal="left" wrapText="1"/>
    </xf>
    <xf numFmtId="0" fontId="5" fillId="0" borderId="0" xfId="0" applyFont="1" applyFill="1" applyBorder="1" applyAlignment="1"/>
    <xf numFmtId="0" fontId="2" fillId="0" borderId="0" xfId="0" applyFont="1" applyAlignment="1">
      <alignment horizontal="center" vertical="center" wrapText="1"/>
    </xf>
    <xf numFmtId="0" fontId="2" fillId="11" borderId="22" xfId="0" applyFont="1" applyFill="1" applyBorder="1" applyAlignment="1">
      <alignment horizontal="left" indent="2"/>
    </xf>
    <xf numFmtId="0" fontId="5" fillId="0" borderId="21" xfId="0" applyFont="1" applyFill="1" applyBorder="1" applyAlignment="1">
      <alignment horizontal="left" indent="1"/>
    </xf>
    <xf numFmtId="0" fontId="2" fillId="11" borderId="16" xfId="0" applyFont="1" applyFill="1" applyBorder="1" applyAlignment="1">
      <alignment horizontal="left" indent="2"/>
    </xf>
    <xf numFmtId="0" fontId="2" fillId="0" borderId="22" xfId="0" applyFont="1" applyFill="1" applyBorder="1" applyAlignment="1">
      <alignment horizontal="left" wrapText="1" indent="2"/>
    </xf>
    <xf numFmtId="0" fontId="11" fillId="0" borderId="0" xfId="0" applyFont="1" applyFill="1" applyBorder="1" applyAlignment="1">
      <alignment horizontal="left"/>
    </xf>
    <xf numFmtId="0" fontId="11" fillId="0" borderId="0" xfId="0" applyFont="1" applyFill="1" applyBorder="1" applyAlignment="1"/>
    <xf numFmtId="0" fontId="0" fillId="0" borderId="22" xfId="0" applyFont="1" applyFill="1" applyBorder="1" applyAlignment="1">
      <alignment horizontal="left" indent="2"/>
    </xf>
    <xf numFmtId="0" fontId="6" fillId="0" borderId="0" xfId="0" applyFont="1" applyFill="1" applyBorder="1" applyAlignment="1">
      <alignment horizontal="left"/>
    </xf>
    <xf numFmtId="0" fontId="0" fillId="0" borderId="22" xfId="0" applyFont="1" applyFill="1" applyBorder="1" applyAlignment="1">
      <alignment horizontal="left" wrapText="1" indent="2"/>
    </xf>
    <xf numFmtId="0" fontId="0" fillId="11" borderId="22" xfId="0" applyFont="1" applyFill="1" applyBorder="1" applyAlignment="1">
      <alignment horizontal="left" wrapText="1" indent="2"/>
    </xf>
    <xf numFmtId="0" fontId="24" fillId="0" borderId="21" xfId="0" applyFont="1" applyFill="1" applyBorder="1" applyAlignment="1">
      <alignment horizontal="left" wrapText="1" indent="1"/>
    </xf>
    <xf numFmtId="0" fontId="0" fillId="0" borderId="16" xfId="0" applyFont="1" applyFill="1" applyBorder="1" applyAlignment="1">
      <alignment horizontal="left" indent="2"/>
    </xf>
    <xf numFmtId="0" fontId="0" fillId="0" borderId="22" xfId="0" applyFill="1" applyBorder="1" applyAlignment="1">
      <alignment horizontal="left" wrapText="1" indent="2"/>
    </xf>
    <xf numFmtId="0" fontId="0" fillId="11" borderId="22" xfId="0" applyFont="1" applyFill="1" applyBorder="1" applyAlignment="1">
      <alignment horizontal="left" wrapText="1" indent="3"/>
    </xf>
    <xf numFmtId="0" fontId="33" fillId="11" borderId="22" xfId="0" applyFont="1" applyFill="1" applyBorder="1" applyAlignment="1">
      <alignment horizontal="left" wrapText="1" indent="1"/>
    </xf>
    <xf numFmtId="0" fontId="33" fillId="0" borderId="22" xfId="0" applyFont="1" applyFill="1" applyBorder="1" applyAlignment="1">
      <alignment horizontal="left" wrapText="1" indent="1"/>
    </xf>
    <xf numFmtId="0" fontId="0" fillId="0" borderId="22" xfId="0" applyFont="1" applyFill="1" applyBorder="1" applyAlignment="1">
      <alignment horizontal="left" wrapText="1" indent="3"/>
    </xf>
    <xf numFmtId="0" fontId="0" fillId="0" borderId="22" xfId="0" applyFont="1" applyFill="1" applyBorder="1" applyAlignment="1">
      <alignment horizontal="left" wrapText="1" indent="4"/>
    </xf>
    <xf numFmtId="0" fontId="0" fillId="11" borderId="22" xfId="0" applyFont="1" applyFill="1" applyBorder="1" applyAlignment="1">
      <alignment horizontal="left" wrapText="1" indent="1"/>
    </xf>
    <xf numFmtId="0" fontId="33" fillId="0" borderId="22" xfId="0" applyFont="1" applyFill="1" applyBorder="1" applyAlignment="1">
      <alignment horizontal="left" wrapText="1"/>
    </xf>
    <xf numFmtId="0" fontId="33" fillId="11" borderId="22" xfId="0" applyFont="1" applyFill="1" applyBorder="1" applyAlignment="1">
      <alignment horizontal="left" wrapText="1"/>
    </xf>
    <xf numFmtId="0" fontId="33" fillId="11" borderId="16" xfId="0" applyFont="1" applyFill="1" applyBorder="1" applyAlignment="1">
      <alignment horizontal="left" wrapText="1"/>
    </xf>
    <xf numFmtId="0" fontId="33" fillId="0" borderId="22" xfId="0" applyFont="1" applyFill="1" applyBorder="1" applyAlignment="1">
      <alignment horizontal="left" indent="1"/>
    </xf>
    <xf numFmtId="0" fontId="0" fillId="0" borderId="21" xfId="0" applyFont="1" applyFill="1" applyBorder="1" applyAlignment="1">
      <alignment horizontal="left" indent="3"/>
    </xf>
    <xf numFmtId="0" fontId="0" fillId="0" borderId="22" xfId="0" applyFont="1" applyFill="1" applyBorder="1" applyAlignment="1">
      <alignment horizontal="left" indent="3"/>
    </xf>
    <xf numFmtId="0" fontId="0" fillId="0" borderId="16" xfId="0" applyFont="1" applyFill="1" applyBorder="1" applyAlignment="1">
      <alignment horizontal="left" indent="3"/>
    </xf>
    <xf numFmtId="0" fontId="0" fillId="0" borderId="21" xfId="0" applyFont="1" applyFill="1" applyBorder="1" applyAlignment="1">
      <alignment horizontal="left" indent="2"/>
    </xf>
    <xf numFmtId="0" fontId="0" fillId="0" borderId="22" xfId="0" applyFont="1" applyFill="1" applyBorder="1" applyAlignment="1">
      <alignment horizontal="left" wrapText="1" indent="1"/>
    </xf>
    <xf numFmtId="0" fontId="0" fillId="0" borderId="22" xfId="0" applyFont="1" applyFill="1" applyBorder="1" applyAlignment="1">
      <alignment horizontal="left" indent="1"/>
    </xf>
    <xf numFmtId="0" fontId="24" fillId="0" borderId="0" xfId="0" applyFont="1" applyFill="1" applyBorder="1" applyAlignment="1">
      <alignment horizontal="left" wrapText="1"/>
    </xf>
    <xf numFmtId="0" fontId="33" fillId="11" borderId="16" xfId="0" applyFont="1" applyFill="1" applyBorder="1" applyAlignment="1">
      <alignment horizontal="left" wrapText="1" indent="1"/>
    </xf>
    <xf numFmtId="0" fontId="0" fillId="11" borderId="16" xfId="0" applyFont="1" applyFill="1" applyBorder="1" applyAlignment="1">
      <alignment horizontal="left" wrapText="1" indent="1"/>
    </xf>
    <xf numFmtId="0" fontId="0" fillId="11" borderId="0" xfId="0" applyFont="1" applyFill="1" applyBorder="1" applyAlignment="1">
      <alignment horizontal="left" wrapText="1" indent="1"/>
    </xf>
    <xf numFmtId="0" fontId="0" fillId="11" borderId="22" xfId="0" applyFont="1" applyFill="1" applyBorder="1" applyAlignment="1">
      <alignment horizontal="left" wrapText="1" indent="4"/>
    </xf>
    <xf numFmtId="0" fontId="0" fillId="11" borderId="22" xfId="0" applyFont="1" applyFill="1" applyBorder="1" applyAlignment="1">
      <alignment horizontal="left" wrapText="1"/>
    </xf>
    <xf numFmtId="0" fontId="2" fillId="0" borderId="16" xfId="0" applyFont="1" applyFill="1" applyBorder="1" applyAlignment="1">
      <alignment horizontal="left" wrapText="1" indent="1"/>
    </xf>
    <xf numFmtId="0" fontId="33" fillId="10" borderId="16" xfId="0" applyFont="1" applyFill="1" applyBorder="1" applyAlignment="1">
      <alignment horizontal="left" wrapText="1"/>
    </xf>
    <xf numFmtId="0" fontId="0" fillId="10" borderId="22" xfId="0" applyFont="1" applyFill="1" applyBorder="1" applyAlignment="1">
      <alignment horizontal="left" wrapText="1" indent="1"/>
    </xf>
    <xf numFmtId="0" fontId="24" fillId="0" borderId="16" xfId="0" applyFont="1" applyFill="1" applyBorder="1" applyAlignment="1">
      <alignment horizontal="left" wrapText="1"/>
    </xf>
    <xf numFmtId="0" fontId="11" fillId="0" borderId="21" xfId="0" applyFont="1" applyBorder="1" applyAlignment="1">
      <alignment wrapText="1"/>
    </xf>
    <xf numFmtId="0" fontId="0" fillId="0" borderId="22" xfId="0" applyFont="1" applyFill="1" applyBorder="1" applyAlignment="1">
      <alignment wrapText="1"/>
    </xf>
    <xf numFmtId="0" fontId="24" fillId="0" borderId="21" xfId="0" applyFont="1" applyFill="1" applyBorder="1" applyAlignment="1">
      <alignment wrapText="1"/>
    </xf>
    <xf numFmtId="0" fontId="0" fillId="0" borderId="16" xfId="0" applyFont="1" applyFill="1" applyBorder="1" applyAlignment="1">
      <alignment wrapText="1"/>
    </xf>
    <xf numFmtId="0" fontId="2" fillId="0" borderId="26" xfId="0" applyFont="1" applyFill="1" applyBorder="1" applyAlignment="1"/>
    <xf numFmtId="0" fontId="34" fillId="0" borderId="0" xfId="0" applyFont="1" applyFill="1" applyBorder="1" applyAlignment="1">
      <alignment horizontal="left" wrapText="1"/>
    </xf>
    <xf numFmtId="0" fontId="34" fillId="0" borderId="0" xfId="0" applyFont="1" applyFill="1" applyBorder="1" applyAlignment="1">
      <alignment horizontal="left"/>
    </xf>
    <xf numFmtId="0" fontId="2" fillId="0" borderId="16" xfId="0" applyFont="1" applyFill="1" applyBorder="1" applyAlignment="1">
      <alignment wrapText="1"/>
    </xf>
    <xf numFmtId="0" fontId="2" fillId="0" borderId="21" xfId="0" applyFont="1" applyFill="1" applyBorder="1" applyAlignment="1">
      <alignment horizontal="left" wrapText="1"/>
    </xf>
    <xf numFmtId="0" fontId="2" fillId="0" borderId="16" xfId="0" quotePrefix="1" applyFont="1" applyFill="1" applyBorder="1" applyAlignment="1">
      <alignment horizontal="left" wrapText="1" indent="1"/>
    </xf>
    <xf numFmtId="0" fontId="2" fillId="0" borderId="22" xfId="0" applyFont="1" applyFill="1" applyBorder="1" applyAlignment="1">
      <alignment horizontal="left" wrapText="1"/>
    </xf>
    <xf numFmtId="0" fontId="2" fillId="0" borderId="22" xfId="0" applyFont="1" applyFill="1" applyBorder="1" applyAlignment="1">
      <alignment wrapText="1"/>
    </xf>
    <xf numFmtId="0" fontId="11" fillId="0" borderId="16" xfId="0" applyFont="1" applyFill="1" applyBorder="1" applyAlignment="1">
      <alignment wrapText="1"/>
    </xf>
    <xf numFmtId="0" fontId="2" fillId="0" borderId="22" xfId="0" applyFont="1" applyBorder="1" applyAlignment="1">
      <alignment horizontal="left"/>
    </xf>
    <xf numFmtId="0" fontId="2" fillId="0" borderId="22" xfId="0" applyFont="1" applyBorder="1" applyAlignment="1">
      <alignment horizontal="left" indent="1"/>
    </xf>
    <xf numFmtId="0" fontId="2" fillId="0" borderId="22" xfId="0" quotePrefix="1" applyFont="1" applyBorder="1" applyAlignment="1">
      <alignment horizontal="left" indent="1"/>
    </xf>
    <xf numFmtId="0" fontId="2" fillId="0" borderId="16" xfId="0" applyFont="1" applyBorder="1" applyAlignment="1">
      <alignment wrapText="1"/>
    </xf>
    <xf numFmtId="0" fontId="2" fillId="0" borderId="22" xfId="0" applyFont="1" applyBorder="1" applyAlignment="1">
      <alignment wrapText="1"/>
    </xf>
    <xf numFmtId="0" fontId="2" fillId="0" borderId="22" xfId="0" applyFont="1" applyBorder="1" applyAlignment="1">
      <alignment horizontal="left" wrapText="1"/>
    </xf>
    <xf numFmtId="0" fontId="2" fillId="0" borderId="0" xfId="0" applyFont="1" applyBorder="1" applyAlignment="1">
      <alignment wrapText="1"/>
    </xf>
    <xf numFmtId="0" fontId="2" fillId="0" borderId="0" xfId="0" applyFont="1" applyBorder="1" applyAlignment="1"/>
    <xf numFmtId="0" fontId="2" fillId="0" borderId="16" xfId="0" applyFont="1" applyFill="1" applyBorder="1" applyAlignment="1"/>
    <xf numFmtId="0" fontId="2" fillId="0" borderId="22" xfId="0" applyFont="1" applyFill="1" applyBorder="1" applyAlignment="1"/>
    <xf numFmtId="0" fontId="0" fillId="0" borderId="0" xfId="0"/>
    <xf numFmtId="0" fontId="0" fillId="0" borderId="16" xfId="0" applyFont="1" applyFill="1" applyBorder="1" applyAlignment="1"/>
    <xf numFmtId="0" fontId="0" fillId="0" borderId="21" xfId="0" applyBorder="1"/>
    <xf numFmtId="0" fontId="2" fillId="0" borderId="0" xfId="0" applyFont="1" applyFill="1" applyBorder="1" applyAlignment="1">
      <alignment horizontal="left" wrapText="1" indent="2"/>
    </xf>
    <xf numFmtId="0" fontId="2" fillId="0" borderId="16" xfId="0" applyFont="1" applyFill="1" applyBorder="1" applyAlignment="1">
      <alignment horizontal="left" wrapText="1" indent="3"/>
    </xf>
    <xf numFmtId="0" fontId="2" fillId="0" borderId="16" xfId="0" applyFont="1" applyFill="1" applyBorder="1" applyAlignment="1">
      <alignment horizontal="left" indent="3"/>
    </xf>
    <xf numFmtId="0" fontId="5" fillId="0" borderId="22" xfId="0" applyFont="1" applyFill="1" applyBorder="1" applyAlignment="1">
      <alignment wrapText="1"/>
    </xf>
    <xf numFmtId="0" fontId="6" fillId="0" borderId="16" xfId="0" applyFont="1" applyBorder="1" applyAlignment="1">
      <alignment horizontal="left" wrapText="1"/>
    </xf>
    <xf numFmtId="0" fontId="2" fillId="0" borderId="22" xfId="0" applyFont="1" applyFill="1" applyBorder="1" applyAlignment="1">
      <alignment horizontal="left" wrapText="1" indent="1"/>
    </xf>
    <xf numFmtId="0" fontId="5" fillId="0" borderId="22" xfId="0" applyFont="1" applyFill="1" applyBorder="1" applyAlignment="1">
      <alignment horizontal="left" wrapText="1" indent="1"/>
    </xf>
    <xf numFmtId="0" fontId="11" fillId="0" borderId="21" xfId="0" applyFont="1" applyFill="1" applyBorder="1" applyAlignment="1">
      <alignment wrapText="1"/>
    </xf>
    <xf numFmtId="0" fontId="11" fillId="0" borderId="21" xfId="0" applyFont="1" applyFill="1" applyBorder="1" applyAlignment="1"/>
    <xf numFmtId="0" fontId="33" fillId="0" borderId="16" xfId="0" applyFont="1" applyFill="1" applyBorder="1" applyAlignment="1">
      <alignment horizontal="left" wrapText="1"/>
    </xf>
    <xf numFmtId="0" fontId="24" fillId="0" borderId="16" xfId="0" applyFont="1" applyFill="1" applyBorder="1" applyAlignment="1">
      <alignment wrapText="1"/>
    </xf>
    <xf numFmtId="0" fontId="5" fillId="0" borderId="22" xfId="0" applyFont="1" applyFill="1" applyBorder="1" applyAlignment="1">
      <alignment horizontal="left" wrapText="1"/>
    </xf>
    <xf numFmtId="0" fontId="5" fillId="0" borderId="21" xfId="0" applyFont="1" applyFill="1" applyBorder="1" applyAlignment="1">
      <alignment wrapText="1"/>
    </xf>
    <xf numFmtId="0" fontId="11" fillId="0" borderId="0" xfId="0" applyFont="1" applyFill="1" applyBorder="1" applyAlignment="1">
      <alignment wrapText="1"/>
    </xf>
    <xf numFmtId="0" fontId="5" fillId="0" borderId="16" xfId="0" applyFont="1" applyFill="1" applyBorder="1" applyAlignment="1">
      <alignment wrapText="1"/>
    </xf>
    <xf numFmtId="0" fontId="5" fillId="0" borderId="16" xfId="0" applyFont="1" applyFill="1" applyBorder="1" applyAlignment="1"/>
    <xf numFmtId="0" fontId="2" fillId="0" borderId="21" xfId="0" applyFont="1" applyFill="1" applyBorder="1" applyAlignment="1">
      <alignment horizontal="left" indent="1"/>
    </xf>
    <xf numFmtId="0" fontId="2" fillId="0" borderId="26" xfId="0" applyFont="1" applyBorder="1" applyAlignment="1"/>
    <xf numFmtId="0" fontId="0" fillId="0" borderId="21" xfId="0" applyBorder="1" applyAlignment="1">
      <alignment horizontal="left"/>
    </xf>
    <xf numFmtId="0" fontId="2" fillId="0" borderId="22" xfId="0" quotePrefix="1" applyFont="1" applyFill="1" applyBorder="1" applyAlignment="1">
      <alignment horizontal="left" wrapText="1" indent="1"/>
    </xf>
    <xf numFmtId="0" fontId="2" fillId="0" borderId="16" xfId="0" applyFont="1" applyBorder="1" applyAlignment="1">
      <alignment horizontal="left" wrapText="1" indent="1"/>
    </xf>
    <xf numFmtId="0" fontId="2" fillId="0" borderId="16" xfId="0" applyFont="1" applyBorder="1" applyAlignment="1">
      <alignment horizontal="left" indent="1"/>
    </xf>
    <xf numFmtId="0" fontId="2" fillId="0" borderId="22" xfId="0" quotePrefix="1" applyFont="1" applyFill="1" applyBorder="1" applyAlignment="1">
      <alignment horizontal="left" wrapText="1" indent="2"/>
    </xf>
    <xf numFmtId="0" fontId="5" fillId="0" borderId="22" xfId="0" quotePrefix="1" applyFont="1" applyFill="1" applyBorder="1" applyAlignment="1">
      <alignment horizontal="left" wrapText="1" indent="1"/>
    </xf>
    <xf numFmtId="0" fontId="2" fillId="0" borderId="22" xfId="0" applyFont="1" applyFill="1" applyBorder="1" applyAlignment="1">
      <alignment horizontal="left"/>
    </xf>
    <xf numFmtId="0" fontId="0" fillId="0" borderId="22" xfId="0" applyBorder="1" applyAlignment="1">
      <alignment horizontal="left"/>
    </xf>
    <xf numFmtId="0" fontId="0" fillId="0" borderId="22" xfId="0" applyFill="1" applyBorder="1" applyAlignment="1">
      <alignment horizontal="left"/>
    </xf>
    <xf numFmtId="0" fontId="5" fillId="0" borderId="21" xfId="0" applyFont="1" applyFill="1" applyBorder="1" applyAlignment="1">
      <alignment horizontal="left" wrapText="1"/>
    </xf>
    <xf numFmtId="0" fontId="11" fillId="0" borderId="21" xfId="0" applyFont="1" applyBorder="1" applyAlignment="1">
      <alignment horizontal="left" wrapText="1"/>
    </xf>
    <xf numFmtId="0" fontId="2" fillId="0" borderId="16" xfId="0" applyFont="1" applyFill="1" applyBorder="1" applyAlignment="1">
      <alignment horizontal="left"/>
    </xf>
    <xf numFmtId="0" fontId="0" fillId="0" borderId="22" xfId="0" applyFont="1" applyFill="1" applyBorder="1" applyAlignment="1">
      <alignment horizontal="left" wrapText="1"/>
    </xf>
    <xf numFmtId="0" fontId="5" fillId="0" borderId="22" xfId="0" quotePrefix="1" applyFont="1" applyFill="1" applyBorder="1" applyAlignment="1">
      <alignment horizontal="left" wrapText="1" indent="2"/>
    </xf>
    <xf numFmtId="0" fontId="0" fillId="7" borderId="22" xfId="0" quotePrefix="1" applyFont="1" applyFill="1" applyBorder="1" applyAlignment="1">
      <alignment horizontal="left" wrapText="1" indent="2"/>
    </xf>
    <xf numFmtId="0" fontId="5" fillId="0" borderId="16" xfId="0" quotePrefix="1" applyFont="1" applyFill="1" applyBorder="1" applyAlignment="1">
      <alignment horizontal="left" wrapText="1" indent="1"/>
    </xf>
    <xf numFmtId="0" fontId="0" fillId="0" borderId="22" xfId="0" quotePrefix="1" applyFont="1" applyFill="1" applyBorder="1" applyAlignment="1">
      <alignment horizontal="left" wrapText="1" indent="2"/>
    </xf>
    <xf numFmtId="0" fontId="2" fillId="0" borderId="0" xfId="0" applyFont="1" applyBorder="1" applyAlignment="1">
      <alignment horizontal="left"/>
    </xf>
    <xf numFmtId="0" fontId="5" fillId="0" borderId="16" xfId="0" quotePrefix="1" applyFont="1" applyFill="1" applyBorder="1" applyAlignment="1">
      <alignment horizontal="left" wrapText="1" indent="2"/>
    </xf>
    <xf numFmtId="0" fontId="2" fillId="0" borderId="22" xfId="0" quotePrefix="1" applyFont="1" applyFill="1" applyBorder="1" applyAlignment="1">
      <alignment horizontal="left" indent="2"/>
    </xf>
    <xf numFmtId="0" fontId="2" fillId="0" borderId="21" xfId="0" applyFont="1" applyBorder="1" applyAlignment="1"/>
    <xf numFmtId="0" fontId="5" fillId="0" borderId="0" xfId="0" applyFont="1" applyFill="1" applyAlignment="1">
      <alignment horizontal="left" indent="2"/>
    </xf>
    <xf numFmtId="0" fontId="2" fillId="0" borderId="21" xfId="0" applyFont="1" applyFill="1" applyBorder="1" applyAlignment="1">
      <alignment horizontal="left" wrapText="1" indent="3"/>
    </xf>
    <xf numFmtId="0" fontId="2" fillId="0" borderId="16" xfId="0" applyFont="1" applyBorder="1" applyAlignment="1">
      <alignment horizontal="left" wrapText="1" indent="2"/>
    </xf>
    <xf numFmtId="0" fontId="2" fillId="0" borderId="16" xfId="0" applyFont="1" applyBorder="1" applyAlignment="1">
      <alignment horizontal="left" indent="2"/>
    </xf>
    <xf numFmtId="0" fontId="2" fillId="0" borderId="22" xfId="0" applyFont="1" applyBorder="1" applyAlignment="1">
      <alignment horizontal="left" wrapText="1" indent="2"/>
    </xf>
    <xf numFmtId="0" fontId="2" fillId="0" borderId="22" xfId="0" applyFont="1" applyBorder="1" applyAlignment="1">
      <alignment horizontal="left" indent="2"/>
    </xf>
    <xf numFmtId="0" fontId="2" fillId="0" borderId="22" xfId="0" applyFont="1" applyFill="1" applyBorder="1" applyAlignment="1">
      <alignment horizontal="left" wrapText="1" indent="3"/>
    </xf>
    <xf numFmtId="0" fontId="2" fillId="0" borderId="21" xfId="0" applyFont="1" applyBorder="1" applyAlignment="1">
      <alignment horizontal="left" wrapText="1" indent="3"/>
    </xf>
    <xf numFmtId="0" fontId="5" fillId="0" borderId="0" xfId="0" applyFont="1" applyFill="1" applyBorder="1" applyAlignment="1">
      <alignment horizontal="left" wrapText="1" indent="1"/>
    </xf>
    <xf numFmtId="0" fontId="2" fillId="0" borderId="22" xfId="0" quotePrefix="1" applyFont="1" applyFill="1" applyBorder="1" applyAlignment="1">
      <alignment horizontal="left" wrapText="1" indent="3"/>
    </xf>
    <xf numFmtId="0" fontId="2" fillId="0" borderId="16" xfId="0" applyFont="1" applyFill="1" applyBorder="1" applyAlignment="1">
      <alignment horizontal="left" wrapText="1" indent="2"/>
    </xf>
    <xf numFmtId="0" fontId="5" fillId="0" borderId="0" xfId="0" applyFont="1" applyFill="1" applyBorder="1" applyAlignment="1">
      <alignment horizontal="left" wrapText="1" indent="2"/>
    </xf>
    <xf numFmtId="0" fontId="5" fillId="0" borderId="21" xfId="0" applyFont="1" applyFill="1" applyBorder="1" applyAlignment="1">
      <alignment horizontal="left" wrapText="1" indent="2"/>
    </xf>
    <xf numFmtId="0" fontId="2" fillId="0" borderId="22" xfId="0" applyFont="1" applyBorder="1" applyAlignment="1">
      <alignment horizontal="left" wrapText="1" indent="1"/>
    </xf>
    <xf numFmtId="0" fontId="5" fillId="0" borderId="16" xfId="0" applyFont="1" applyFill="1" applyBorder="1" applyAlignment="1">
      <alignment horizontal="left" indent="1"/>
    </xf>
    <xf numFmtId="0" fontId="2" fillId="0" borderId="21" xfId="0" applyFont="1" applyBorder="1" applyAlignment="1">
      <alignment horizontal="left" wrapText="1" indent="2"/>
    </xf>
    <xf numFmtId="0" fontId="5" fillId="0" borderId="16" xfId="0" quotePrefix="1" applyFont="1" applyFill="1" applyBorder="1" applyAlignment="1">
      <alignment horizontal="left" wrapText="1"/>
    </xf>
    <xf numFmtId="0" fontId="5" fillId="0" borderId="16" xfId="0" applyFont="1" applyFill="1" applyBorder="1" applyAlignment="1">
      <alignment horizontal="left"/>
    </xf>
    <xf numFmtId="0" fontId="5" fillId="0" borderId="16" xfId="0" applyFont="1" applyBorder="1" applyAlignment="1">
      <alignment wrapText="1"/>
    </xf>
    <xf numFmtId="0" fontId="5" fillId="0" borderId="16" xfId="0" applyFont="1" applyBorder="1" applyAlignment="1"/>
    <xf numFmtId="0" fontId="5" fillId="0" borderId="0" xfId="0" applyFont="1" applyBorder="1" applyAlignment="1">
      <alignment wrapText="1"/>
    </xf>
    <xf numFmtId="0" fontId="5" fillId="0" borderId="0" xfId="0" applyFont="1" applyBorder="1" applyAlignment="1"/>
    <xf numFmtId="0" fontId="2" fillId="0" borderId="21" xfId="0" applyFont="1" applyBorder="1" applyAlignment="1">
      <alignment wrapText="1"/>
    </xf>
    <xf numFmtId="0" fontId="5" fillId="0" borderId="21" xfId="0" applyFont="1" applyFill="1" applyBorder="1" applyAlignment="1"/>
    <xf numFmtId="0" fontId="5" fillId="0" borderId="21" xfId="0" applyFont="1" applyBorder="1" applyAlignment="1">
      <alignment wrapText="1"/>
    </xf>
    <xf numFmtId="0" fontId="5" fillId="0" borderId="21" xfId="0" applyFont="1" applyBorder="1" applyAlignment="1"/>
    <xf numFmtId="0" fontId="5" fillId="0" borderId="22" xfId="0" applyFont="1" applyBorder="1" applyAlignment="1">
      <alignment horizontal="left" wrapText="1"/>
    </xf>
    <xf numFmtId="0" fontId="4" fillId="0" borderId="0" xfId="0" applyFont="1" applyBorder="1" applyAlignment="1">
      <alignment horizontal="left"/>
    </xf>
    <xf numFmtId="0" fontId="4" fillId="0" borderId="0" xfId="0" applyFont="1" applyBorder="1" applyAlignment="1">
      <alignment horizontal="left" wrapText="1"/>
    </xf>
    <xf numFmtId="0" fontId="18" fillId="0" borderId="0" xfId="0" applyFont="1" applyBorder="1" applyAlignment="1">
      <alignment horizontal="left"/>
    </xf>
    <xf numFmtId="0" fontId="2" fillId="0" borderId="0" xfId="0" applyFont="1" applyAlignment="1">
      <alignment horizontal="left"/>
    </xf>
    <xf numFmtId="0" fontId="11" fillId="0" borderId="16" xfId="0" applyFont="1" applyBorder="1" applyAlignment="1">
      <alignment horizontal="left" wrapText="1"/>
    </xf>
    <xf numFmtId="164" fontId="4" fillId="0" borderId="0" xfId="11" applyFont="1" applyBorder="1" applyAlignment="1">
      <alignment horizontal="left" wrapText="1"/>
    </xf>
    <xf numFmtId="164" fontId="5" fillId="0" borderId="16" xfId="19" applyBorder="1" applyAlignment="1">
      <alignment horizontal="left"/>
    </xf>
    <xf numFmtId="0" fontId="2" fillId="0" borderId="14" xfId="0" applyFont="1" applyBorder="1"/>
    <xf numFmtId="0" fontId="11" fillId="0" borderId="26" xfId="0" applyFont="1" applyBorder="1" applyAlignment="1"/>
    <xf numFmtId="164" fontId="11" fillId="0" borderId="16" xfId="19" applyFont="1" applyBorder="1" applyAlignment="1">
      <alignment horizontal="left"/>
    </xf>
    <xf numFmtId="164" fontId="5" fillId="0" borderId="0" xfId="19" applyBorder="1" applyAlignment="1">
      <alignment horizontal="left"/>
    </xf>
    <xf numFmtId="0" fontId="2" fillId="0" borderId="16" xfId="0" applyFont="1" applyBorder="1" applyAlignment="1">
      <alignment horizontal="left" wrapText="1"/>
    </xf>
  </cellXfs>
  <cellStyles count="27">
    <cellStyle name="Beobachtung" xfId="1"/>
    <cellStyle name="Beobachtung (2)" xfId="21"/>
    <cellStyle name="Beobachtung (alpha)" xfId="2"/>
    <cellStyle name="Beobachtung (F:G-SIB-Spec)" xfId="25"/>
    <cellStyle name="Beobachtung (F:YESNO)" xfId="24"/>
    <cellStyle name="Beobachtung (gesperrt)" xfId="3"/>
    <cellStyle name="Beobachtung (inclZero) (2)" xfId="23"/>
    <cellStyle name="Beobachtung (inclZero) (3)" xfId="14"/>
    <cellStyle name="Beobachtung (inclZero) (4)" xfId="26"/>
    <cellStyle name="Beobachtung (Total)" xfId="4"/>
    <cellStyle name="Beobachtung (Total) (2)" xfId="5"/>
    <cellStyle name="Berechnung" xfId="16" builtinId="22" hidden="1"/>
    <cellStyle name="ColPos" xfId="6"/>
    <cellStyle name="DraftValMessage" xfId="7"/>
    <cellStyle name="EmptyField" xfId="8"/>
    <cellStyle name="Komma" xfId="15" builtinId="3"/>
    <cellStyle name="LinePos" xfId="10"/>
    <cellStyle name="Link" xfId="9" builtinId="8"/>
    <cellStyle name="nicht erhoben (1)" xfId="18"/>
    <cellStyle name="nicht erhoben (1) 2" xfId="22"/>
    <cellStyle name="nicht erhoben (2)" xfId="17"/>
    <cellStyle name="Standard" xfId="0" builtinId="0"/>
    <cellStyle name="Titel" xfId="11"/>
    <cellStyle name="Titel 2" xfId="19"/>
    <cellStyle name="Überschrift 5" xfId="12"/>
    <cellStyle name="ValMessage" xfId="13"/>
    <cellStyle name="Zeilen" xfId="20"/>
  </cellStyles>
  <dxfs count="10">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rgb="FFFF0000"/>
      </font>
    </dxf>
    <dxf>
      <font>
        <b/>
        <i val="0"/>
        <color rgb="FFFF0000"/>
      </font>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8.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10.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12.jpeg"/><Relationship Id="rId1" Type="http://schemas.openxmlformats.org/officeDocument/2006/relationships/image" Target="../media/image10.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14.jpeg"/><Relationship Id="rId1" Type="http://schemas.openxmlformats.org/officeDocument/2006/relationships/image" Target="../media/image13.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2</xdr:col>
      <xdr:colOff>666750</xdr:colOff>
      <xdr:row>2</xdr:row>
      <xdr:rowOff>200025</xdr:rowOff>
    </xdr:to>
    <xdr:pic>
      <xdr:nvPicPr>
        <xdr:cNvPr id="14179" name="Grafik 8" descr="SNB_LOGO_46_RGB.jpg">
          <a:extLst>
            <a:ext uri="{FF2B5EF4-FFF2-40B4-BE49-F238E27FC236}">
              <a16:creationId xmlns:a16="http://schemas.microsoft.com/office/drawing/2014/main" id="{00000000-0008-0000-0000-000063370000}"/>
            </a:ext>
          </a:extLst>
        </xdr:cNvPr>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390525" y="57150"/>
          <a:ext cx="15716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714375</xdr:colOff>
      <xdr:row>0</xdr:row>
      <xdr:rowOff>57150</xdr:rowOff>
    </xdr:from>
    <xdr:to>
      <xdr:col>4</xdr:col>
      <xdr:colOff>371475</xdr:colOff>
      <xdr:row>2</xdr:row>
      <xdr:rowOff>200025</xdr:rowOff>
    </xdr:to>
    <xdr:pic>
      <xdr:nvPicPr>
        <xdr:cNvPr id="14180" name="Grafik 9" descr="B_Logo_FINMA_45mm_gray.jpg">
          <a:extLst>
            <a:ext uri="{FF2B5EF4-FFF2-40B4-BE49-F238E27FC236}">
              <a16:creationId xmlns:a16="http://schemas.microsoft.com/office/drawing/2014/main" id="{00000000-0008-0000-0000-00006437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9775" y="57150"/>
          <a:ext cx="15049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47625</xdr:colOff>
      <xdr:row>0</xdr:row>
      <xdr:rowOff>47625</xdr:rowOff>
    </xdr:from>
    <xdr:to>
      <xdr:col>1</xdr:col>
      <xdr:colOff>1209675</xdr:colOff>
      <xdr:row>2</xdr:row>
      <xdr:rowOff>142875</xdr:rowOff>
    </xdr:to>
    <xdr:pic>
      <xdr:nvPicPr>
        <xdr:cNvPr id="2" name="Grafik 8" descr="SNB_LOGO_46_RGB.jpg">
          <a:extLst>
            <a:ext uri="{FF2B5EF4-FFF2-40B4-BE49-F238E27FC236}">
              <a16:creationId xmlns:a16="http://schemas.microsoft.com/office/drawing/2014/main" id="{00000000-0008-0000-0900-000002000000}"/>
            </a:ext>
          </a:extLst>
        </xdr:cNvPr>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47625" y="47625"/>
          <a:ext cx="15621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1400175</xdr:colOff>
      <xdr:row>0</xdr:row>
      <xdr:rowOff>47625</xdr:rowOff>
    </xdr:from>
    <xdr:to>
      <xdr:col>1</xdr:col>
      <xdr:colOff>2919412</xdr:colOff>
      <xdr:row>2</xdr:row>
      <xdr:rowOff>142875</xdr:rowOff>
    </xdr:to>
    <xdr:pic>
      <xdr:nvPicPr>
        <xdr:cNvPr id="3" name="Grafik 9" descr="B_Logo_FINMA_45mm_gray.jpg">
          <a:extLst>
            <a:ext uri="{FF2B5EF4-FFF2-40B4-BE49-F238E27FC236}">
              <a16:creationId xmlns:a16="http://schemas.microsoft.com/office/drawing/2014/main" id="{00000000-0008-0000-0900-000003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0225" y="47625"/>
          <a:ext cx="1519237"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absoluteAnchor>
    <xdr:pos x="47625" y="47625"/>
    <xdr:ext cx="1564481" cy="619125"/>
    <xdr:pic>
      <xdr:nvPicPr>
        <xdr:cNvPr id="2" name="Grafik 8" descr="SNB_LOGO_46_RGB.jpg">
          <a:extLst>
            <a:ext uri="{FF2B5EF4-FFF2-40B4-BE49-F238E27FC236}">
              <a16:creationId xmlns:a16="http://schemas.microsoft.com/office/drawing/2014/main" id="{00000000-0008-0000-0A00-000002000000}"/>
            </a:ext>
          </a:extLst>
        </xdr:cNvPr>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47625" y="47625"/>
          <a:ext cx="1564481"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absoluteAnchor>
    <xdr:pos x="1802606" y="47625"/>
    <xdr:ext cx="1509713" cy="619125"/>
    <xdr:pic>
      <xdr:nvPicPr>
        <xdr:cNvPr id="3" name="Grafik 9" descr="B_Logo_FINMA_45mm_gray.jpg">
          <a:extLst>
            <a:ext uri="{FF2B5EF4-FFF2-40B4-BE49-F238E27FC236}">
              <a16:creationId xmlns:a16="http://schemas.microsoft.com/office/drawing/2014/main" id="{00000000-0008-0000-0A00-000003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2606" y="47625"/>
          <a:ext cx="1509713"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wsDr>
</file>

<file path=xl/drawings/drawing12.xml><?xml version="1.0" encoding="utf-8"?>
<xdr:wsDr xmlns:xdr="http://schemas.openxmlformats.org/drawingml/2006/spreadsheetDrawing" xmlns:a="http://schemas.openxmlformats.org/drawingml/2006/main">
  <xdr:twoCellAnchor editAs="absolute">
    <xdr:from>
      <xdr:col>0</xdr:col>
      <xdr:colOff>47625</xdr:colOff>
      <xdr:row>0</xdr:row>
      <xdr:rowOff>47625</xdr:rowOff>
    </xdr:from>
    <xdr:to>
      <xdr:col>1</xdr:col>
      <xdr:colOff>1209675</xdr:colOff>
      <xdr:row>2</xdr:row>
      <xdr:rowOff>142875</xdr:rowOff>
    </xdr:to>
    <xdr:pic>
      <xdr:nvPicPr>
        <xdr:cNvPr id="24245" name="Grafik 8" descr="SNB_LOGO_46_RGB.jpg">
          <a:extLst>
            <a:ext uri="{FF2B5EF4-FFF2-40B4-BE49-F238E27FC236}">
              <a16:creationId xmlns:a16="http://schemas.microsoft.com/office/drawing/2014/main" id="{00000000-0008-0000-0B00-0000B55E0000}"/>
            </a:ext>
          </a:extLst>
        </xdr:cNvPr>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47625" y="47625"/>
          <a:ext cx="15621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1400175</xdr:colOff>
      <xdr:row>0</xdr:row>
      <xdr:rowOff>47625</xdr:rowOff>
    </xdr:from>
    <xdr:to>
      <xdr:col>2</xdr:col>
      <xdr:colOff>752475</xdr:colOff>
      <xdr:row>2</xdr:row>
      <xdr:rowOff>142875</xdr:rowOff>
    </xdr:to>
    <xdr:pic>
      <xdr:nvPicPr>
        <xdr:cNvPr id="24246" name="Grafik 9" descr="B_Logo_FINMA_45mm_gray.jpg">
          <a:extLst>
            <a:ext uri="{FF2B5EF4-FFF2-40B4-BE49-F238E27FC236}">
              <a16:creationId xmlns:a16="http://schemas.microsoft.com/office/drawing/2014/main" id="{00000000-0008-0000-0B00-0000B65E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0225" y="47625"/>
          <a:ext cx="15240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847725</xdr:colOff>
      <xdr:row>2</xdr:row>
      <xdr:rowOff>114300</xdr:rowOff>
    </xdr:to>
    <xdr:pic>
      <xdr:nvPicPr>
        <xdr:cNvPr id="22354" name="Grafik 8" descr="SNB_LOGO_46_RGB.jpg">
          <a:extLst>
            <a:ext uri="{FF2B5EF4-FFF2-40B4-BE49-F238E27FC236}">
              <a16:creationId xmlns:a16="http://schemas.microsoft.com/office/drawing/2014/main" id="{00000000-0008-0000-0C00-000052570000}"/>
            </a:ext>
          </a:extLst>
        </xdr:cNvPr>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38100" y="38100"/>
          <a:ext cx="15716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1038225</xdr:colOff>
      <xdr:row>0</xdr:row>
      <xdr:rowOff>38100</xdr:rowOff>
    </xdr:from>
    <xdr:to>
      <xdr:col>2</xdr:col>
      <xdr:colOff>895350</xdr:colOff>
      <xdr:row>2</xdr:row>
      <xdr:rowOff>114300</xdr:rowOff>
    </xdr:to>
    <xdr:pic>
      <xdr:nvPicPr>
        <xdr:cNvPr id="22355" name="Grafik 9" descr="B_Logo_FINMA_45mm_gray.jpg">
          <a:extLst>
            <a:ext uri="{FF2B5EF4-FFF2-40B4-BE49-F238E27FC236}">
              <a16:creationId xmlns:a16="http://schemas.microsoft.com/office/drawing/2014/main" id="{00000000-0008-0000-0C00-00005357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0225" y="38100"/>
          <a:ext cx="15144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1</xdr:col>
      <xdr:colOff>640556</xdr:colOff>
      <xdr:row>2</xdr:row>
      <xdr:rowOff>161925</xdr:rowOff>
    </xdr:to>
    <xdr:pic>
      <xdr:nvPicPr>
        <xdr:cNvPr id="2" name="Grafik 8" descr="SNB_LOGO_46_RGB.jpg">
          <a:extLst>
            <a:ext uri="{FF2B5EF4-FFF2-40B4-BE49-F238E27FC236}">
              <a16:creationId xmlns:a16="http://schemas.microsoft.com/office/drawing/2014/main" id="{00000000-0008-0000-0100-0000D5680000}"/>
            </a:ext>
          </a:extLst>
        </xdr:cNvPr>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66675" y="66675"/>
          <a:ext cx="1574006"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0</xdr:row>
      <xdr:rowOff>66675</xdr:rowOff>
    </xdr:from>
    <xdr:to>
      <xdr:col>2</xdr:col>
      <xdr:colOff>314325</xdr:colOff>
      <xdr:row>2</xdr:row>
      <xdr:rowOff>161925</xdr:rowOff>
    </xdr:to>
    <xdr:pic>
      <xdr:nvPicPr>
        <xdr:cNvPr id="3" name="Grafik 9" descr="B_Logo_FINMA_45mm_gray.jpg">
          <a:extLst>
            <a:ext uri="{FF2B5EF4-FFF2-40B4-BE49-F238E27FC236}">
              <a16:creationId xmlns:a16="http://schemas.microsoft.com/office/drawing/2014/main" id="{00000000-0008-0000-0100-0000D668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62150" y="66675"/>
          <a:ext cx="15240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1047750</xdr:colOff>
      <xdr:row>2</xdr:row>
      <xdr:rowOff>123825</xdr:rowOff>
    </xdr:to>
    <xdr:pic>
      <xdr:nvPicPr>
        <xdr:cNvPr id="15185" name="Grafik 8" descr="SNB_LOGO_46_RGB.jpg">
          <a:extLst>
            <a:ext uri="{FF2B5EF4-FFF2-40B4-BE49-F238E27FC236}">
              <a16:creationId xmlns:a16="http://schemas.microsoft.com/office/drawing/2014/main" id="{00000000-0008-0000-0200-0000513B0000}"/>
            </a:ext>
          </a:extLst>
        </xdr:cNvPr>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38100" y="38100"/>
          <a:ext cx="15716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0</xdr:row>
      <xdr:rowOff>38100</xdr:rowOff>
    </xdr:from>
    <xdr:to>
      <xdr:col>2</xdr:col>
      <xdr:colOff>133350</xdr:colOff>
      <xdr:row>2</xdr:row>
      <xdr:rowOff>123825</xdr:rowOff>
    </xdr:to>
    <xdr:pic>
      <xdr:nvPicPr>
        <xdr:cNvPr id="15186" name="Grafik 9" descr="B_Logo_FINMA_45mm_gray.jpg">
          <a:extLst>
            <a:ext uri="{FF2B5EF4-FFF2-40B4-BE49-F238E27FC236}">
              <a16:creationId xmlns:a16="http://schemas.microsoft.com/office/drawing/2014/main" id="{00000000-0008-0000-0200-0000523B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0225" y="38100"/>
          <a:ext cx="15144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1047750</xdr:colOff>
      <xdr:row>2</xdr:row>
      <xdr:rowOff>171450</xdr:rowOff>
    </xdr:to>
    <xdr:pic>
      <xdr:nvPicPr>
        <xdr:cNvPr id="16209" name="Grafik 8" descr="SNB_LOGO_46_RGB.jpg">
          <a:extLst>
            <a:ext uri="{FF2B5EF4-FFF2-40B4-BE49-F238E27FC236}">
              <a16:creationId xmlns:a16="http://schemas.microsoft.com/office/drawing/2014/main" id="{00000000-0008-0000-0300-0000513F0000}"/>
            </a:ext>
          </a:extLst>
        </xdr:cNvPr>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38100" y="38100"/>
          <a:ext cx="15716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0</xdr:row>
      <xdr:rowOff>38100</xdr:rowOff>
    </xdr:from>
    <xdr:to>
      <xdr:col>2</xdr:col>
      <xdr:colOff>133350</xdr:colOff>
      <xdr:row>2</xdr:row>
      <xdr:rowOff>171450</xdr:rowOff>
    </xdr:to>
    <xdr:pic>
      <xdr:nvPicPr>
        <xdr:cNvPr id="16210" name="Grafik 9" descr="B_Logo_FINMA_45mm_gray.jpg">
          <a:extLst>
            <a:ext uri="{FF2B5EF4-FFF2-40B4-BE49-F238E27FC236}">
              <a16:creationId xmlns:a16="http://schemas.microsoft.com/office/drawing/2014/main" id="{00000000-0008-0000-0300-0000523F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0225" y="38100"/>
          <a:ext cx="15144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1047750</xdr:colOff>
      <xdr:row>2</xdr:row>
      <xdr:rowOff>171450</xdr:rowOff>
    </xdr:to>
    <xdr:pic>
      <xdr:nvPicPr>
        <xdr:cNvPr id="17233" name="Grafik 8" descr="SNB_LOGO_46_RGB.jpg">
          <a:extLst>
            <a:ext uri="{FF2B5EF4-FFF2-40B4-BE49-F238E27FC236}">
              <a16:creationId xmlns:a16="http://schemas.microsoft.com/office/drawing/2014/main" id="{00000000-0008-0000-0400-000051430000}"/>
            </a:ext>
          </a:extLst>
        </xdr:cNvPr>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38100" y="38100"/>
          <a:ext cx="15716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0</xdr:row>
      <xdr:rowOff>38100</xdr:rowOff>
    </xdr:from>
    <xdr:to>
      <xdr:col>2</xdr:col>
      <xdr:colOff>133350</xdr:colOff>
      <xdr:row>2</xdr:row>
      <xdr:rowOff>171450</xdr:rowOff>
    </xdr:to>
    <xdr:pic>
      <xdr:nvPicPr>
        <xdr:cNvPr id="17234" name="Grafik 9" descr="B_Logo_FINMA_45mm_gray.jpg">
          <a:extLst>
            <a:ext uri="{FF2B5EF4-FFF2-40B4-BE49-F238E27FC236}">
              <a16:creationId xmlns:a16="http://schemas.microsoft.com/office/drawing/2014/main" id="{00000000-0008-0000-0400-00005243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0225" y="38100"/>
          <a:ext cx="15144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1047750</xdr:colOff>
      <xdr:row>2</xdr:row>
      <xdr:rowOff>171450</xdr:rowOff>
    </xdr:to>
    <xdr:pic>
      <xdr:nvPicPr>
        <xdr:cNvPr id="18257" name="Grafik 8" descr="SNB_LOGO_46_RGB.jpg">
          <a:extLst>
            <a:ext uri="{FF2B5EF4-FFF2-40B4-BE49-F238E27FC236}">
              <a16:creationId xmlns:a16="http://schemas.microsoft.com/office/drawing/2014/main" id="{00000000-0008-0000-0500-000051470000}"/>
            </a:ext>
          </a:extLst>
        </xdr:cNvPr>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38100" y="38100"/>
          <a:ext cx="15716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0</xdr:row>
      <xdr:rowOff>38100</xdr:rowOff>
    </xdr:from>
    <xdr:to>
      <xdr:col>2</xdr:col>
      <xdr:colOff>133350</xdr:colOff>
      <xdr:row>2</xdr:row>
      <xdr:rowOff>171450</xdr:rowOff>
    </xdr:to>
    <xdr:pic>
      <xdr:nvPicPr>
        <xdr:cNvPr id="18258" name="Grafik 9" descr="B_Logo_FINMA_45mm_gray.jpg">
          <a:extLst>
            <a:ext uri="{FF2B5EF4-FFF2-40B4-BE49-F238E27FC236}">
              <a16:creationId xmlns:a16="http://schemas.microsoft.com/office/drawing/2014/main" id="{00000000-0008-0000-0500-00005247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0225" y="38100"/>
          <a:ext cx="15144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1047750</xdr:colOff>
      <xdr:row>2</xdr:row>
      <xdr:rowOff>171450</xdr:rowOff>
    </xdr:to>
    <xdr:pic>
      <xdr:nvPicPr>
        <xdr:cNvPr id="19281" name="Grafik 8" descr="SNB_LOGO_46_RGB.jpg">
          <a:extLst>
            <a:ext uri="{FF2B5EF4-FFF2-40B4-BE49-F238E27FC236}">
              <a16:creationId xmlns:a16="http://schemas.microsoft.com/office/drawing/2014/main" id="{00000000-0008-0000-0600-0000514B0000}"/>
            </a:ext>
          </a:extLst>
        </xdr:cNvPr>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38100" y="38100"/>
          <a:ext cx="15716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0</xdr:row>
      <xdr:rowOff>38100</xdr:rowOff>
    </xdr:from>
    <xdr:to>
      <xdr:col>2</xdr:col>
      <xdr:colOff>133350</xdr:colOff>
      <xdr:row>2</xdr:row>
      <xdr:rowOff>171450</xdr:rowOff>
    </xdr:to>
    <xdr:pic>
      <xdr:nvPicPr>
        <xdr:cNvPr id="19282" name="Grafik 9" descr="B_Logo_FINMA_45mm_gray.jpg">
          <a:extLst>
            <a:ext uri="{FF2B5EF4-FFF2-40B4-BE49-F238E27FC236}">
              <a16:creationId xmlns:a16="http://schemas.microsoft.com/office/drawing/2014/main" id="{00000000-0008-0000-0600-0000524B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0225" y="38100"/>
          <a:ext cx="15144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1047750</xdr:colOff>
      <xdr:row>2</xdr:row>
      <xdr:rowOff>171450</xdr:rowOff>
    </xdr:to>
    <xdr:pic>
      <xdr:nvPicPr>
        <xdr:cNvPr id="20305" name="Grafik 8" descr="SNB_LOGO_46_RGB.jpg">
          <a:extLst>
            <a:ext uri="{FF2B5EF4-FFF2-40B4-BE49-F238E27FC236}">
              <a16:creationId xmlns:a16="http://schemas.microsoft.com/office/drawing/2014/main" id="{00000000-0008-0000-0700-0000514F0000}"/>
            </a:ext>
          </a:extLst>
        </xdr:cNvPr>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38100" y="38100"/>
          <a:ext cx="15716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0</xdr:row>
      <xdr:rowOff>38100</xdr:rowOff>
    </xdr:from>
    <xdr:to>
      <xdr:col>2</xdr:col>
      <xdr:colOff>133350</xdr:colOff>
      <xdr:row>2</xdr:row>
      <xdr:rowOff>171450</xdr:rowOff>
    </xdr:to>
    <xdr:pic>
      <xdr:nvPicPr>
        <xdr:cNvPr id="20306" name="Grafik 9" descr="B_Logo_FINMA_45mm_gray.jpg">
          <a:extLst>
            <a:ext uri="{FF2B5EF4-FFF2-40B4-BE49-F238E27FC236}">
              <a16:creationId xmlns:a16="http://schemas.microsoft.com/office/drawing/2014/main" id="{00000000-0008-0000-0700-0000524F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0225" y="38100"/>
          <a:ext cx="15144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1047750</xdr:colOff>
      <xdr:row>2</xdr:row>
      <xdr:rowOff>171450</xdr:rowOff>
    </xdr:to>
    <xdr:pic>
      <xdr:nvPicPr>
        <xdr:cNvPr id="21329" name="Grafik 8" descr="SNB_LOGO_46_RGB.jpg">
          <a:extLst>
            <a:ext uri="{FF2B5EF4-FFF2-40B4-BE49-F238E27FC236}">
              <a16:creationId xmlns:a16="http://schemas.microsoft.com/office/drawing/2014/main" id="{00000000-0008-0000-0800-000051530000}"/>
            </a:ext>
          </a:extLst>
        </xdr:cNvPr>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38100" y="38100"/>
          <a:ext cx="15716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0</xdr:row>
      <xdr:rowOff>38100</xdr:rowOff>
    </xdr:from>
    <xdr:to>
      <xdr:col>2</xdr:col>
      <xdr:colOff>133350</xdr:colOff>
      <xdr:row>2</xdr:row>
      <xdr:rowOff>171450</xdr:rowOff>
    </xdr:to>
    <xdr:pic>
      <xdr:nvPicPr>
        <xdr:cNvPr id="21330" name="Grafik 9" descr="B_Logo_FINMA_45mm_gray.jpg">
          <a:extLst>
            <a:ext uri="{FF2B5EF4-FFF2-40B4-BE49-F238E27FC236}">
              <a16:creationId xmlns:a16="http://schemas.microsoft.com/office/drawing/2014/main" id="{00000000-0008-0000-0800-00005253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0225" y="38100"/>
          <a:ext cx="15144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PRIMA\Entwicklung%20Excel-EHM%20mit%20externen%20Referenzen\PCSIB(1.7)\Erhebungsmitteldokumente\E_CSIB_SR_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y note"/>
      <sheetName val="CSIB_CRSEC.MELD"/>
      <sheetName val="CSIB_OPR.MELD"/>
      <sheetName val="CSIB_SETT.MELD"/>
      <sheetName val="CSIB_CVA.MELD"/>
    </sheetNames>
    <sheetDataSet>
      <sheetData sheetId="0"/>
      <sheetData sheetId="1">
        <row r="11">
          <cell r="Q11">
            <v>0</v>
          </cell>
          <cell r="R11">
            <v>0</v>
          </cell>
          <cell r="S11">
            <v>0</v>
          </cell>
          <cell r="T11">
            <v>0</v>
          </cell>
        </row>
        <row r="28">
          <cell r="Q28">
            <v>0</v>
          </cell>
          <cell r="R28">
            <v>0</v>
          </cell>
          <cell r="S28">
            <v>0</v>
          </cell>
          <cell r="T28">
            <v>0</v>
          </cell>
        </row>
      </sheetData>
      <sheetData sheetId="2">
        <row r="14">
          <cell r="G14">
            <v>0</v>
          </cell>
        </row>
        <row r="16">
          <cell r="G16">
            <v>0</v>
          </cell>
        </row>
        <row r="27">
          <cell r="G27"/>
        </row>
      </sheetData>
      <sheetData sheetId="3">
        <row r="12">
          <cell r="J12">
            <v>0</v>
          </cell>
        </row>
      </sheetData>
      <sheetData sheetId="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asel3@finma.ch" TargetMode="External"/><Relationship Id="rId2" Type="http://schemas.openxmlformats.org/officeDocument/2006/relationships/hyperlink" Target="http://www.finma.ch/" TargetMode="External"/><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P52"/>
  <sheetViews>
    <sheetView showGridLines="0" showRowColHeaders="0" tabSelected="1" zoomScale="80" zoomScaleNormal="80" workbookViewId="0">
      <selection activeCell="H3" sqref="H3"/>
    </sheetView>
  </sheetViews>
  <sheetFormatPr baseColWidth="10" defaultColWidth="11.42578125" defaultRowHeight="14.25"/>
  <cols>
    <col min="1" max="1" width="5.85546875" style="81" customWidth="1"/>
    <col min="2" max="2" width="13.5703125" style="81" customWidth="1"/>
    <col min="3" max="3" width="11.7109375" style="81" customWidth="1"/>
    <col min="4" max="4" width="16" style="81" customWidth="1"/>
    <col min="5" max="5" width="13.42578125" style="81" customWidth="1"/>
    <col min="6" max="6" width="12" style="81" customWidth="1"/>
    <col min="7" max="7" width="12.7109375" style="81" customWidth="1"/>
    <col min="8" max="8" width="16.28515625" style="81" customWidth="1"/>
    <col min="9" max="9" width="8.42578125" style="81" customWidth="1"/>
    <col min="10" max="16384" width="11.42578125" style="81"/>
  </cols>
  <sheetData>
    <row r="1" spans="1:10" ht="21.75" customHeight="1">
      <c r="B1" s="82"/>
      <c r="G1" s="83" t="s">
        <v>143</v>
      </c>
      <c r="H1" s="84" t="s">
        <v>622</v>
      </c>
    </row>
    <row r="2" spans="1:10" ht="15" customHeight="1">
      <c r="B2" s="82"/>
      <c r="G2" s="83" t="s">
        <v>144</v>
      </c>
      <c r="H2" s="84" t="s">
        <v>600</v>
      </c>
    </row>
    <row r="3" spans="1:10" ht="21" customHeight="1">
      <c r="B3" s="85"/>
      <c r="G3" s="83" t="s">
        <v>1238</v>
      </c>
      <c r="H3" s="2" t="s">
        <v>0</v>
      </c>
      <c r="J3" s="86" t="s">
        <v>543</v>
      </c>
    </row>
    <row r="4" spans="1:10" ht="22.5" customHeight="1">
      <c r="B4" s="87"/>
      <c r="G4" s="83" t="s">
        <v>546</v>
      </c>
      <c r="H4" s="117" t="s">
        <v>1241</v>
      </c>
    </row>
    <row r="5" spans="1:10" ht="22.5" customHeight="1">
      <c r="G5" s="83" t="s">
        <v>537</v>
      </c>
      <c r="H5" s="1"/>
    </row>
    <row r="6" spans="1:10" ht="42" customHeight="1">
      <c r="B6" s="507" t="s">
        <v>598</v>
      </c>
      <c r="C6" s="507"/>
      <c r="D6" s="507"/>
      <c r="E6" s="507"/>
      <c r="F6" s="507"/>
      <c r="G6" s="507"/>
      <c r="H6" s="507"/>
    </row>
    <row r="7" spans="1:10" ht="18">
      <c r="B7" s="144" t="s">
        <v>601</v>
      </c>
    </row>
    <row r="8" spans="1:10" ht="18" customHeight="1">
      <c r="B8" s="173" t="s">
        <v>600</v>
      </c>
      <c r="D8" s="289"/>
    </row>
    <row r="9" spans="1:10">
      <c r="B9" s="278" t="s">
        <v>1752</v>
      </c>
    </row>
    <row r="10" spans="1:10" ht="18" customHeight="1">
      <c r="A10" s="88"/>
      <c r="B10" s="89"/>
      <c r="C10" s="89"/>
      <c r="D10" s="103" t="s">
        <v>536</v>
      </c>
      <c r="E10" s="90"/>
      <c r="F10" s="90"/>
      <c r="G10" s="90"/>
      <c r="H10" s="89"/>
    </row>
    <row r="11" spans="1:10">
      <c r="A11" s="88"/>
      <c r="B11" s="104" t="s">
        <v>538</v>
      </c>
      <c r="C11" s="89"/>
      <c r="D11" s="508"/>
      <c r="E11" s="508"/>
      <c r="F11" s="508"/>
      <c r="G11" s="508"/>
      <c r="H11" s="89"/>
    </row>
    <row r="12" spans="1:10">
      <c r="A12" s="88"/>
      <c r="B12" s="104" t="s">
        <v>539</v>
      </c>
      <c r="C12" s="89"/>
      <c r="D12" s="508"/>
      <c r="E12" s="508"/>
      <c r="F12" s="508"/>
      <c r="G12" s="508"/>
      <c r="H12" s="89"/>
    </row>
    <row r="13" spans="1:10">
      <c r="A13" s="88"/>
      <c r="B13" s="104" t="s">
        <v>155</v>
      </c>
      <c r="C13" s="89"/>
      <c r="D13" s="508"/>
      <c r="E13" s="508"/>
      <c r="F13" s="508"/>
      <c r="G13" s="508"/>
      <c r="H13" s="89"/>
    </row>
    <row r="14" spans="1:10">
      <c r="A14" s="88"/>
      <c r="B14" s="104" t="s">
        <v>540</v>
      </c>
      <c r="C14" s="89"/>
      <c r="D14" s="508"/>
      <c r="E14" s="508"/>
      <c r="F14" s="508"/>
      <c r="G14" s="508"/>
      <c r="H14" s="89"/>
    </row>
    <row r="15" spans="1:10">
      <c r="A15" s="88"/>
      <c r="B15" s="104" t="s">
        <v>541</v>
      </c>
      <c r="C15" s="89"/>
      <c r="D15" s="508"/>
      <c r="E15" s="508"/>
      <c r="F15" s="508"/>
      <c r="G15" s="508"/>
      <c r="H15" s="89"/>
    </row>
    <row r="16" spans="1:10">
      <c r="A16" s="88"/>
      <c r="B16" s="104" t="s">
        <v>542</v>
      </c>
      <c r="C16" s="89"/>
      <c r="D16" s="508"/>
      <c r="E16" s="508"/>
      <c r="F16" s="508"/>
      <c r="G16" s="508"/>
      <c r="H16" s="89"/>
    </row>
    <row r="17" spans="1:16" hidden="1">
      <c r="A17" s="88"/>
      <c r="B17" s="104"/>
      <c r="C17" s="89"/>
      <c r="D17" s="508"/>
      <c r="E17" s="508"/>
      <c r="F17" s="508"/>
      <c r="G17" s="508"/>
      <c r="H17" s="89"/>
    </row>
    <row r="18" spans="1:16">
      <c r="A18" s="88"/>
      <c r="B18" s="104" t="s">
        <v>156</v>
      </c>
      <c r="C18" s="89"/>
      <c r="D18" s="508"/>
      <c r="E18" s="508"/>
      <c r="F18" s="508"/>
      <c r="G18" s="508"/>
      <c r="H18" s="89"/>
    </row>
    <row r="19" spans="1:16">
      <c r="A19" s="88"/>
      <c r="B19" s="91"/>
      <c r="C19" s="89"/>
      <c r="D19" s="92"/>
      <c r="E19" s="92"/>
      <c r="F19" s="92"/>
      <c r="G19" s="92"/>
      <c r="H19" s="89"/>
    </row>
    <row r="20" spans="1:16">
      <c r="B20" s="118" t="s">
        <v>152</v>
      </c>
      <c r="C20" s="119"/>
      <c r="D20" s="120" t="s">
        <v>153</v>
      </c>
      <c r="E20" s="120"/>
      <c r="F20" s="119"/>
      <c r="G20" s="121"/>
      <c r="H20" s="119"/>
    </row>
    <row r="21" spans="1:16">
      <c r="B21" s="93"/>
      <c r="C21" s="93"/>
      <c r="D21" s="93"/>
      <c r="E21" s="93"/>
      <c r="F21" s="93"/>
      <c r="G21" s="93"/>
      <c r="H21" s="93"/>
    </row>
    <row r="22" spans="1:16">
      <c r="B22" s="245" t="s">
        <v>602</v>
      </c>
      <c r="C22" s="94"/>
      <c r="D22" s="95">
        <f>'CSIB_CASABISIRB.MELD'!D849</f>
        <v>15</v>
      </c>
      <c r="E22" s="291"/>
      <c r="F22" s="292"/>
      <c r="G22" s="293" t="b">
        <v>0</v>
      </c>
      <c r="H22" s="96"/>
    </row>
    <row r="23" spans="1:16">
      <c r="B23" s="94" t="s">
        <v>603</v>
      </c>
      <c r="C23" s="94"/>
      <c r="D23" s="95">
        <f>'CSIB_CRSABIS_01.MELD'!D45</f>
        <v>0</v>
      </c>
      <c r="E23" s="95"/>
      <c r="F23" s="95"/>
      <c r="G23" s="95"/>
      <c r="H23" s="96"/>
    </row>
    <row r="24" spans="1:16">
      <c r="B24" s="94" t="s">
        <v>604</v>
      </c>
      <c r="C24" s="94"/>
      <c r="D24" s="95">
        <f>'CSIB_CRSABIS_02.MELD'!D45</f>
        <v>0</v>
      </c>
      <c r="E24" s="95"/>
      <c r="F24" s="95"/>
      <c r="G24" s="95"/>
      <c r="H24" s="96"/>
    </row>
    <row r="25" spans="1:16">
      <c r="B25" s="94" t="s">
        <v>605</v>
      </c>
      <c r="C25" s="94"/>
      <c r="D25" s="95">
        <f>'CSIB_CRSABIS_03.MELD'!D45</f>
        <v>0</v>
      </c>
      <c r="E25" s="95"/>
      <c r="F25" s="95"/>
      <c r="G25" s="95"/>
      <c r="H25" s="96"/>
    </row>
    <row r="26" spans="1:16">
      <c r="B26" s="94" t="s">
        <v>606</v>
      </c>
      <c r="C26" s="94"/>
      <c r="D26" s="95">
        <f>'CSIB_CRSABIS_04.MELD'!D45</f>
        <v>0</v>
      </c>
      <c r="E26" s="95"/>
      <c r="F26" s="95"/>
      <c r="G26" s="95"/>
      <c r="H26" s="96"/>
      <c r="J26" s="97"/>
      <c r="P26" s="98"/>
    </row>
    <row r="27" spans="1:16">
      <c r="B27" s="94" t="s">
        <v>607</v>
      </c>
      <c r="C27" s="94"/>
      <c r="D27" s="95">
        <f>'CSIB_CRSABIS_05.MELD'!D45</f>
        <v>0</v>
      </c>
      <c r="E27" s="95"/>
      <c r="F27" s="95"/>
      <c r="G27" s="95"/>
      <c r="H27" s="96"/>
      <c r="J27" s="97"/>
      <c r="P27" s="98"/>
    </row>
    <row r="28" spans="1:16">
      <c r="B28" s="94" t="s">
        <v>608</v>
      </c>
      <c r="C28" s="94"/>
      <c r="D28" s="95">
        <f>'CSIB_CRSABIS_06.MELD'!D45</f>
        <v>0</v>
      </c>
      <c r="E28" s="95"/>
      <c r="F28" s="95"/>
      <c r="G28" s="95"/>
      <c r="H28" s="96"/>
      <c r="J28" s="97"/>
      <c r="P28" s="98"/>
    </row>
    <row r="29" spans="1:16">
      <c r="B29" s="94" t="s">
        <v>609</v>
      </c>
      <c r="C29" s="94"/>
      <c r="D29" s="95">
        <f>'CSIB_CRSABIS_07.MELD'!D45</f>
        <v>0</v>
      </c>
      <c r="E29" s="95"/>
      <c r="F29" s="94"/>
      <c r="G29" s="94"/>
      <c r="H29" s="96"/>
      <c r="J29" s="97"/>
      <c r="P29" s="98"/>
    </row>
    <row r="30" spans="1:16">
      <c r="B30" s="94" t="s">
        <v>1278</v>
      </c>
      <c r="C30" s="94"/>
      <c r="D30" s="95">
        <f>'CSIB_CRFUNDS.MELD'!E59</f>
        <v>0</v>
      </c>
      <c r="E30" s="95"/>
      <c r="F30" s="94"/>
      <c r="G30" s="94"/>
      <c r="H30" s="96"/>
      <c r="J30" s="97"/>
      <c r="P30" s="98"/>
    </row>
    <row r="31" spans="1:16">
      <c r="B31" s="94" t="s">
        <v>1223</v>
      </c>
      <c r="C31" s="94"/>
      <c r="D31" s="95">
        <f>'CSIB_LERA_BIS.MELD'!D56</f>
        <v>3</v>
      </c>
      <c r="E31" s="95"/>
      <c r="F31" s="94"/>
      <c r="G31" s="94"/>
      <c r="H31" s="96"/>
      <c r="J31" s="97"/>
      <c r="P31" s="98"/>
    </row>
    <row r="32" spans="1:16">
      <c r="B32" s="245" t="s">
        <v>610</v>
      </c>
      <c r="C32" s="94"/>
      <c r="D32" s="95">
        <f>'CSIB_MKR_BIS.MELD'!D178</f>
        <v>0</v>
      </c>
      <c r="E32" s="95"/>
      <c r="F32" s="94"/>
      <c r="G32" s="94"/>
      <c r="H32" s="96"/>
      <c r="J32" s="97"/>
      <c r="P32" s="98"/>
    </row>
    <row r="33" spans="2:16">
      <c r="B33" s="245" t="s">
        <v>611</v>
      </c>
      <c r="C33" s="94"/>
      <c r="D33" s="95">
        <f>'CSIB_CRSABIS.CNTR'!H2</f>
        <v>0</v>
      </c>
      <c r="E33" s="95"/>
      <c r="F33" s="94"/>
      <c r="G33" s="94"/>
      <c r="H33" s="96"/>
      <c r="J33" s="97"/>
      <c r="P33" s="98"/>
    </row>
    <row r="34" spans="2:16" ht="4.5" customHeight="1">
      <c r="B34" s="94"/>
      <c r="C34" s="94"/>
      <c r="D34" s="95"/>
      <c r="E34" s="95"/>
      <c r="F34" s="94"/>
      <c r="G34" s="94"/>
      <c r="H34" s="96"/>
      <c r="J34" s="97"/>
      <c r="P34" s="98"/>
    </row>
    <row r="35" spans="2:16">
      <c r="B35" s="122" t="str">
        <f>IF(D35&gt;0,"Data with errors","")</f>
        <v>Data with errors</v>
      </c>
      <c r="C35" s="123"/>
      <c r="D35" s="124">
        <f>SUM(D22:D34)</f>
        <v>18</v>
      </c>
      <c r="E35" s="124"/>
      <c r="F35" s="123"/>
      <c r="G35" s="123"/>
      <c r="H35" s="125" t="str">
        <f>IF(COUNTIF(F22:F34,"!")&gt;0,"Data with warnings","")</f>
        <v/>
      </c>
    </row>
    <row r="36" spans="2:16" ht="27.95" customHeight="1">
      <c r="B36" s="4" t="s">
        <v>544</v>
      </c>
      <c r="C36" s="105"/>
      <c r="D36" s="106"/>
      <c r="E36" s="105"/>
      <c r="F36" s="105"/>
      <c r="G36" s="105"/>
    </row>
    <row r="37" spans="2:16">
      <c r="B37" s="4" t="s">
        <v>545</v>
      </c>
      <c r="C37" s="105"/>
      <c r="D37" s="105"/>
      <c r="E37" s="105"/>
      <c r="F37" s="105"/>
      <c r="G37" s="105"/>
    </row>
    <row r="38" spans="2:16" ht="21" hidden="1" customHeight="1">
      <c r="B38" s="307"/>
      <c r="C38" s="105"/>
      <c r="D38" s="105"/>
      <c r="G38" s="105"/>
      <c r="K38" s="100"/>
    </row>
    <row r="39" spans="2:16" hidden="1">
      <c r="B39" s="307"/>
    </row>
    <row r="40" spans="2:16" ht="21" customHeight="1">
      <c r="B40" s="85" t="s">
        <v>150</v>
      </c>
    </row>
    <row r="41" spans="2:16">
      <c r="B41" s="105" t="str">
        <f>"the following details: your code ("&amp;H3&amp;"), survey ("&amp;H1&amp;") and reporting date ("&amp;IF(ISTEXT(H4),H4,DAY(H4)&amp;"."&amp;MONTH(H4)&amp;"."&amp;YEAR(H4))&amp;")."</f>
        <v>the following details: your code (XXXXXX), survey (CSIB_Basel3) and reporting date (DD.MM.YYYY).</v>
      </c>
    </row>
    <row r="42" spans="2:16" ht="15" customHeight="1">
      <c r="B42" s="101"/>
      <c r="C42" s="107"/>
      <c r="D42" s="107"/>
      <c r="E42" s="107"/>
      <c r="F42" s="107"/>
      <c r="G42" s="107"/>
      <c r="H42" s="107"/>
    </row>
    <row r="43" spans="2:16" ht="21" customHeight="1">
      <c r="B43" s="112" t="s">
        <v>141</v>
      </c>
      <c r="C43" s="108"/>
      <c r="D43" s="108"/>
      <c r="E43" s="108"/>
      <c r="F43" s="109" t="s">
        <v>158</v>
      </c>
      <c r="G43" s="108"/>
      <c r="H43" s="169" t="str">
        <f>HYPERLINK("mailto:forms@snb.ch?subject="&amp;H45&amp;" Ordering forms","forms@snb.ch")</f>
        <v>forms@snb.ch</v>
      </c>
    </row>
    <row r="44" spans="2:16" ht="15" customHeight="1">
      <c r="B44" s="112" t="s">
        <v>1685</v>
      </c>
      <c r="C44" s="108"/>
      <c r="D44" s="108"/>
      <c r="E44" s="108"/>
      <c r="F44" s="111" t="s">
        <v>159</v>
      </c>
      <c r="G44" s="108"/>
      <c r="H44" s="110" t="str">
        <f>HYPERLINK("mailto:statistik.erhebungen@snb.ch?subject="&amp;H45&amp;" Question","statistik.erhebungen@snb.ch")</f>
        <v>statistik.erhebungen@snb.ch</v>
      </c>
    </row>
    <row r="45" spans="2:16" ht="15" customHeight="1">
      <c r="B45" s="112" t="s">
        <v>145</v>
      </c>
      <c r="C45" s="108"/>
      <c r="D45" s="108"/>
      <c r="E45" s="108"/>
      <c r="F45" s="111" t="s">
        <v>146</v>
      </c>
      <c r="G45" s="108"/>
      <c r="H45" s="111" t="str">
        <f>H3&amp;" "&amp;""&amp;H1&amp;" "&amp;IF(ISTEXT(H4),H4,DAY(H4)&amp;"."&amp;MONTH(H4)&amp;"."&amp;YEAR(H4))</f>
        <v>XXXXXX CSIB_Basel3 DD.MM.YYYY</v>
      </c>
      <c r="K45" s="105"/>
    </row>
    <row r="46" spans="2:16" ht="15" customHeight="1">
      <c r="B46" s="112" t="s">
        <v>151</v>
      </c>
      <c r="C46" s="108"/>
      <c r="D46" s="108"/>
      <c r="E46" s="108"/>
      <c r="K46" s="105"/>
    </row>
    <row r="47" spans="2:16" ht="15" customHeight="1">
      <c r="B47" s="112" t="s">
        <v>624</v>
      </c>
      <c r="C47" s="108"/>
      <c r="D47" s="108"/>
      <c r="E47" s="108"/>
      <c r="H47" s="187"/>
    </row>
    <row r="48" spans="2:16" ht="23.1" customHeight="1">
      <c r="B48" s="112" t="s">
        <v>142</v>
      </c>
      <c r="C48" s="113"/>
      <c r="D48" s="113"/>
      <c r="E48" s="113"/>
      <c r="F48" s="113"/>
      <c r="G48" s="113"/>
      <c r="H48" s="169" t="s">
        <v>147</v>
      </c>
    </row>
    <row r="49" spans="2:8" ht="15" customHeight="1">
      <c r="B49" s="112" t="s">
        <v>1245</v>
      </c>
      <c r="C49" s="113"/>
      <c r="D49" s="113"/>
      <c r="E49" s="113"/>
      <c r="F49" s="111" t="s">
        <v>1686</v>
      </c>
      <c r="G49" s="113"/>
      <c r="H49" s="169" t="s">
        <v>1687</v>
      </c>
    </row>
    <row r="50" spans="2:8" ht="15" customHeight="1">
      <c r="B50" s="112" t="s">
        <v>148</v>
      </c>
      <c r="C50" s="113"/>
      <c r="D50" s="113"/>
      <c r="E50" s="113"/>
      <c r="F50" s="113"/>
      <c r="G50" s="113"/>
      <c r="H50" s="113"/>
    </row>
    <row r="51" spans="2:8" ht="15" customHeight="1">
      <c r="B51" s="112" t="s">
        <v>149</v>
      </c>
      <c r="C51" s="113"/>
      <c r="D51" s="113"/>
      <c r="E51" s="113"/>
      <c r="F51" s="113"/>
      <c r="G51" s="113"/>
      <c r="H51" s="113"/>
    </row>
    <row r="52" spans="2:8" ht="12.95" customHeight="1">
      <c r="B52" s="99"/>
    </row>
  </sheetData>
  <sheetProtection sheet="1" objects="1" scenarios="1"/>
  <customSheetViews>
    <customSheetView guid="{4435029F-2F1B-45E2-BFDE-13E66716A0E9}" scale="80" showGridLines="0" showRowCol="0" hiddenRows="1">
      <selection activeCell="H3" sqref="H3"/>
      <pageMargins left="0.59055118110236227" right="0.39370078740157483" top="0.78740157480314965" bottom="0.78740157480314965" header="0.31496062992125984" footer="0.31496062992125984"/>
      <pageSetup paperSize="9" scale="80" orientation="portrait" r:id="rId1"/>
      <headerFooter>
        <oddFooter>&amp;L&amp;D - &amp;T</oddFooter>
      </headerFooter>
    </customSheetView>
  </customSheetViews>
  <mergeCells count="9">
    <mergeCell ref="B6:H6"/>
    <mergeCell ref="D17:G17"/>
    <mergeCell ref="D18:G18"/>
    <mergeCell ref="D11:G11"/>
    <mergeCell ref="D12:G12"/>
    <mergeCell ref="D13:G13"/>
    <mergeCell ref="D14:G14"/>
    <mergeCell ref="D15:G15"/>
    <mergeCell ref="D16:G16"/>
  </mergeCells>
  <conditionalFormatting sqref="B20:H20">
    <cfRule type="expression" dxfId="9" priority="4" stopIfTrue="1">
      <formula>$D35&gt;0</formula>
    </cfRule>
  </conditionalFormatting>
  <conditionalFormatting sqref="D35:E35">
    <cfRule type="cellIs" dxfId="8" priority="2" stopIfTrue="1" operator="greaterThan">
      <formula>0</formula>
    </cfRule>
  </conditionalFormatting>
  <conditionalFormatting sqref="F22">
    <cfRule type="cellIs" dxfId="7" priority="1" stopIfTrue="1" operator="equal">
      <formula>"!"</formula>
    </cfRule>
  </conditionalFormatting>
  <dataValidations disablePrompts="1" count="1">
    <dataValidation type="list" allowBlank="1" showInputMessage="1" showErrorMessage="1" sqref="H5">
      <formula1>"Correction,Test"</formula1>
    </dataValidation>
  </dataValidations>
  <hyperlinks>
    <hyperlink ref="H48" r:id="rId2"/>
    <hyperlink ref="H49" r:id="rId3"/>
  </hyperlinks>
  <pageMargins left="0.59055118110236227" right="0.39370078740157483" top="0.78740157480314965" bottom="0.78740157480314965" header="0.31496062992125984" footer="0.31496062992125984"/>
  <pageSetup paperSize="9" scale="80" orientation="portrait" r:id="rId4"/>
  <headerFooter>
    <oddFooter>&amp;L&amp;D - &amp;T</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showGridLines="0" showRowColHeaders="0" showZeros="0" zoomScale="80" zoomScaleNormal="80" workbookViewId="0">
      <pane ySplit="9" topLeftCell="A10" activePane="bottomLeft" state="frozen"/>
      <selection activeCell="B51" sqref="B51:U51"/>
      <selection pane="bottomLeft" activeCell="E11" sqref="E11"/>
    </sheetView>
  </sheetViews>
  <sheetFormatPr baseColWidth="10" defaultColWidth="13.28515625" defaultRowHeight="12.75"/>
  <cols>
    <col min="1" max="1" width="6" style="436" customWidth="1"/>
    <col min="2" max="2" width="47.5703125" style="436" customWidth="1"/>
    <col min="3" max="3" width="8.5703125" style="436" customWidth="1"/>
    <col min="4" max="4" width="4.7109375" style="4" customWidth="1"/>
    <col min="5" max="10" width="19.140625" style="436" customWidth="1"/>
    <col min="11" max="11" width="21.28515625" style="436" customWidth="1"/>
    <col min="12" max="12" width="5.140625" style="436" bestFit="1" customWidth="1"/>
    <col min="13" max="13" width="9.140625" style="436" customWidth="1"/>
    <col min="14" max="14" width="26.140625" style="436" customWidth="1"/>
    <col min="15" max="16384" width="13.28515625" style="436"/>
  </cols>
  <sheetData>
    <row r="1" spans="1:14" ht="20.25" customHeight="1">
      <c r="D1" s="6"/>
      <c r="E1" s="665" t="s">
        <v>1277</v>
      </c>
      <c r="F1" s="664"/>
      <c r="G1" s="664"/>
      <c r="H1" s="664"/>
      <c r="I1" s="664"/>
      <c r="J1" s="189" t="s">
        <v>61</v>
      </c>
      <c r="K1" s="406" t="s">
        <v>1278</v>
      </c>
    </row>
    <row r="2" spans="1:14" ht="20.25" customHeight="1">
      <c r="A2" s="304"/>
      <c r="B2" s="304"/>
      <c r="D2" s="6"/>
      <c r="E2" s="664"/>
      <c r="F2" s="664"/>
      <c r="G2" s="664"/>
      <c r="H2" s="664"/>
      <c r="I2" s="664"/>
      <c r="J2" s="189" t="s">
        <v>1224</v>
      </c>
      <c r="K2" s="412" t="str">
        <f>'Delivery note'!H3</f>
        <v>XXXXXX</v>
      </c>
    </row>
    <row r="3" spans="1:14" ht="20.25" customHeight="1">
      <c r="D3" s="6"/>
      <c r="E3" s="144" t="s">
        <v>601</v>
      </c>
      <c r="J3" s="189" t="s">
        <v>546</v>
      </c>
      <c r="K3" s="413" t="str">
        <f>'Delivery note'!H4</f>
        <v>DD.MM.YYYY</v>
      </c>
    </row>
    <row r="4" spans="1:14" ht="20.25" customHeight="1">
      <c r="A4" s="304"/>
      <c r="C4" s="60"/>
      <c r="D4" s="6"/>
      <c r="E4" s="173" t="s">
        <v>54</v>
      </c>
    </row>
    <row r="5" spans="1:14" ht="20.100000000000001" customHeight="1">
      <c r="A5" s="304"/>
      <c r="C5" s="24"/>
      <c r="D5" s="6"/>
      <c r="E5" s="173" t="s">
        <v>1246</v>
      </c>
    </row>
    <row r="6" spans="1:14" ht="15" customHeight="1">
      <c r="D6" s="6"/>
      <c r="E6" s="4" t="s">
        <v>6</v>
      </c>
      <c r="F6" s="190"/>
      <c r="G6" s="190"/>
      <c r="H6" s="190"/>
      <c r="I6" s="190"/>
      <c r="J6" s="190"/>
    </row>
    <row r="7" spans="1:14" ht="12.75" customHeight="1">
      <c r="A7" s="478"/>
      <c r="B7" s="4"/>
      <c r="C7" s="130"/>
      <c r="D7" s="8"/>
      <c r="L7" s="128"/>
    </row>
    <row r="8" spans="1:14" ht="69.75" customHeight="1">
      <c r="A8" s="191"/>
      <c r="B8" s="191"/>
      <c r="C8" s="131"/>
      <c r="D8" s="151"/>
      <c r="E8" s="46" t="s">
        <v>1247</v>
      </c>
      <c r="F8" s="30" t="s">
        <v>1248</v>
      </c>
      <c r="G8" s="30" t="s">
        <v>1249</v>
      </c>
      <c r="H8" s="30" t="s">
        <v>1250</v>
      </c>
      <c r="I8" s="30" t="s">
        <v>1251</v>
      </c>
      <c r="J8" s="30" t="s">
        <v>1252</v>
      </c>
      <c r="K8" s="30" t="s">
        <v>1253</v>
      </c>
      <c r="L8" s="151"/>
      <c r="N8" s="414"/>
    </row>
    <row r="9" spans="1:14" ht="15" customHeight="1">
      <c r="A9" s="128"/>
      <c r="B9" s="128"/>
      <c r="C9" s="128"/>
      <c r="D9" s="153"/>
      <c r="E9" s="127" t="s">
        <v>95</v>
      </c>
      <c r="F9" s="127" t="s">
        <v>96</v>
      </c>
      <c r="G9" s="127" t="s">
        <v>97</v>
      </c>
      <c r="H9" s="127" t="s">
        <v>98</v>
      </c>
      <c r="I9" s="127" t="s">
        <v>99</v>
      </c>
      <c r="J9" s="127" t="s">
        <v>100</v>
      </c>
      <c r="K9" s="127" t="s">
        <v>101</v>
      </c>
      <c r="L9" s="153"/>
    </row>
    <row r="10" spans="1:14" ht="33" customHeight="1">
      <c r="A10" s="195"/>
      <c r="B10" s="11" t="s">
        <v>1254</v>
      </c>
      <c r="D10" s="280"/>
      <c r="E10" s="143"/>
      <c r="F10" s="143"/>
      <c r="G10" s="143"/>
      <c r="H10" s="143"/>
      <c r="I10" s="143"/>
      <c r="J10" s="143"/>
      <c r="K10" s="143"/>
      <c r="L10" s="280"/>
    </row>
    <row r="11" spans="1:14" ht="20.100000000000001" customHeight="1">
      <c r="A11" s="195"/>
      <c r="B11" s="407" t="s">
        <v>1255</v>
      </c>
      <c r="C11" s="201"/>
      <c r="D11" s="280">
        <v>1</v>
      </c>
      <c r="E11" s="14"/>
      <c r="F11" s="14"/>
      <c r="G11" s="14"/>
      <c r="H11" s="14"/>
      <c r="I11" s="14"/>
      <c r="J11" s="14"/>
      <c r="K11" s="14"/>
      <c r="L11" s="280">
        <v>1</v>
      </c>
    </row>
    <row r="12" spans="1:14" ht="20.100000000000001" customHeight="1">
      <c r="A12" s="195"/>
      <c r="B12" s="408" t="s">
        <v>1256</v>
      </c>
      <c r="C12" s="207"/>
      <c r="D12" s="280">
        <v>2</v>
      </c>
      <c r="E12" s="14"/>
      <c r="F12" s="14"/>
      <c r="G12" s="14"/>
      <c r="H12" s="14"/>
      <c r="I12" s="14"/>
      <c r="J12" s="14"/>
      <c r="K12" s="14"/>
      <c r="L12" s="280">
        <v>2</v>
      </c>
    </row>
    <row r="13" spans="1:14" ht="21.75" customHeight="1">
      <c r="A13" s="195"/>
      <c r="B13" s="11" t="s">
        <v>1257</v>
      </c>
      <c r="D13" s="280"/>
      <c r="E13" s="143"/>
      <c r="F13" s="143"/>
      <c r="G13" s="143"/>
      <c r="H13" s="143"/>
      <c r="I13" s="143"/>
      <c r="J13" s="143"/>
      <c r="K13" s="143"/>
      <c r="L13" s="280"/>
    </row>
    <row r="14" spans="1:14" ht="20.100000000000001" customHeight="1">
      <c r="A14" s="197"/>
      <c r="B14" s="407" t="s">
        <v>1258</v>
      </c>
      <c r="C14" s="201"/>
      <c r="D14" s="280">
        <v>3</v>
      </c>
      <c r="E14" s="14"/>
      <c r="F14" s="14"/>
      <c r="G14" s="14"/>
      <c r="H14" s="14"/>
      <c r="I14" s="14"/>
      <c r="J14" s="14"/>
      <c r="K14" s="14"/>
      <c r="L14" s="280">
        <v>3</v>
      </c>
    </row>
    <row r="15" spans="1:14" ht="20.100000000000001" customHeight="1">
      <c r="A15" s="198"/>
      <c r="B15" s="408" t="s">
        <v>1259</v>
      </c>
      <c r="C15" s="207"/>
      <c r="D15" s="280">
        <v>4</v>
      </c>
      <c r="E15" s="14"/>
      <c r="F15" s="14"/>
      <c r="G15" s="14"/>
      <c r="H15" s="14"/>
      <c r="I15" s="14"/>
      <c r="J15" s="14"/>
      <c r="K15" s="14"/>
      <c r="L15" s="280">
        <v>4</v>
      </c>
    </row>
    <row r="16" spans="1:14" ht="21.75" customHeight="1">
      <c r="A16" s="198"/>
      <c r="B16" s="11" t="s">
        <v>1260</v>
      </c>
      <c r="D16" s="280"/>
      <c r="E16" s="415"/>
      <c r="F16" s="415"/>
      <c r="G16" s="415"/>
      <c r="H16" s="415"/>
      <c r="I16" s="415"/>
      <c r="J16" s="416"/>
      <c r="K16" s="282"/>
      <c r="L16" s="280"/>
    </row>
    <row r="17" spans="1:13" ht="20.100000000000001" customHeight="1">
      <c r="A17" s="198"/>
      <c r="B17" s="200" t="s">
        <v>1261</v>
      </c>
      <c r="C17" s="201"/>
      <c r="D17" s="280">
        <v>5</v>
      </c>
      <c r="E17" s="14"/>
      <c r="F17" s="243"/>
      <c r="G17" s="243"/>
      <c r="H17" s="243"/>
      <c r="I17" s="14"/>
      <c r="J17" s="14"/>
      <c r="K17" s="14"/>
      <c r="L17" s="280">
        <v>5</v>
      </c>
    </row>
    <row r="18" spans="1:13" ht="20.100000000000001" customHeight="1">
      <c r="A18" s="198"/>
      <c r="B18" s="408" t="s">
        <v>1262</v>
      </c>
      <c r="C18" s="207"/>
      <c r="D18" s="280">
        <v>6</v>
      </c>
      <c r="E18" s="14"/>
      <c r="F18" s="243"/>
      <c r="G18" s="243"/>
      <c r="H18" s="243"/>
      <c r="I18" s="14"/>
      <c r="J18" s="14"/>
      <c r="K18" s="14"/>
      <c r="L18" s="280">
        <v>6</v>
      </c>
    </row>
    <row r="19" spans="1:13" ht="21.75" customHeight="1">
      <c r="A19" s="198"/>
      <c r="B19" s="454" t="s">
        <v>1271</v>
      </c>
      <c r="D19" s="280"/>
      <c r="E19" s="415"/>
      <c r="F19" s="415"/>
      <c r="G19" s="415"/>
      <c r="H19" s="415"/>
      <c r="I19" s="415"/>
      <c r="J19" s="416"/>
      <c r="K19" s="282"/>
      <c r="L19" s="280"/>
    </row>
    <row r="20" spans="1:13" ht="20.100000000000001" customHeight="1">
      <c r="A20" s="198"/>
      <c r="B20" s="455" t="s">
        <v>1430</v>
      </c>
      <c r="C20" s="201"/>
      <c r="D20" s="280">
        <v>7</v>
      </c>
      <c r="E20" s="14"/>
      <c r="F20" s="243"/>
      <c r="G20" s="243"/>
      <c r="H20" s="243"/>
      <c r="I20" s="14"/>
      <c r="J20" s="14"/>
      <c r="K20" s="14"/>
      <c r="L20" s="280">
        <v>7</v>
      </c>
      <c r="M20" s="203"/>
    </row>
    <row r="21" spans="1:13" ht="20.100000000000001" customHeight="1">
      <c r="A21" s="479"/>
      <c r="B21" s="408" t="s">
        <v>1263</v>
      </c>
      <c r="C21" s="207"/>
      <c r="D21" s="280">
        <v>8</v>
      </c>
      <c r="E21" s="14"/>
      <c r="F21" s="243"/>
      <c r="G21" s="243"/>
      <c r="H21" s="243"/>
      <c r="I21" s="14"/>
      <c r="J21" s="14"/>
      <c r="K21" s="14"/>
      <c r="L21" s="280">
        <v>8</v>
      </c>
    </row>
    <row r="22" spans="1:13" ht="20.100000000000001" customHeight="1">
      <c r="A22" s="479"/>
      <c r="B22" s="456" t="s">
        <v>1431</v>
      </c>
      <c r="C22" s="207"/>
      <c r="D22" s="280">
        <v>24</v>
      </c>
      <c r="E22" s="14"/>
      <c r="F22" s="243"/>
      <c r="G22" s="243"/>
      <c r="H22" s="243"/>
      <c r="I22" s="14"/>
      <c r="J22" s="14"/>
      <c r="K22" s="14"/>
      <c r="L22" s="280">
        <v>24</v>
      </c>
    </row>
    <row r="23" spans="1:13" ht="20.100000000000001" customHeight="1">
      <c r="A23" s="479"/>
      <c r="B23" s="457" t="s">
        <v>1263</v>
      </c>
      <c r="C23" s="207"/>
      <c r="D23" s="280">
        <v>25</v>
      </c>
      <c r="E23" s="14"/>
      <c r="F23" s="243"/>
      <c r="G23" s="243"/>
      <c r="H23" s="243"/>
      <c r="I23" s="14"/>
      <c r="J23" s="14"/>
      <c r="K23" s="14"/>
      <c r="L23" s="280">
        <v>25</v>
      </c>
    </row>
    <row r="24" spans="1:13" ht="21.75" customHeight="1">
      <c r="A24" s="480"/>
      <c r="B24" s="236" t="s">
        <v>1264</v>
      </c>
      <c r="D24" s="280"/>
      <c r="E24" s="143"/>
      <c r="F24" s="143"/>
      <c r="G24" s="143"/>
      <c r="H24" s="143"/>
      <c r="I24" s="143"/>
      <c r="J24" s="143"/>
      <c r="K24" s="143"/>
      <c r="L24" s="280"/>
    </row>
    <row r="25" spans="1:13" ht="20.100000000000001" customHeight="1">
      <c r="A25" s="198"/>
      <c r="B25" s="200" t="s">
        <v>1265</v>
      </c>
      <c r="C25" s="201"/>
      <c r="D25" s="280">
        <v>9</v>
      </c>
      <c r="E25" s="14"/>
      <c r="F25" s="14"/>
      <c r="G25" s="14"/>
      <c r="H25" s="14"/>
      <c r="I25" s="14"/>
      <c r="J25" s="14"/>
      <c r="K25" s="14"/>
      <c r="L25" s="280">
        <v>9</v>
      </c>
    </row>
    <row r="26" spans="1:13" ht="20.100000000000001" customHeight="1">
      <c r="A26" s="198"/>
      <c r="B26" s="140" t="s">
        <v>1266</v>
      </c>
      <c r="C26" s="207"/>
      <c r="D26" s="280">
        <v>10</v>
      </c>
      <c r="E26" s="14"/>
      <c r="F26" s="14"/>
      <c r="G26" s="14"/>
      <c r="H26" s="14"/>
      <c r="I26" s="14"/>
      <c r="J26" s="14"/>
      <c r="K26" s="14"/>
      <c r="L26" s="280">
        <v>10</v>
      </c>
    </row>
    <row r="27" spans="1:13" ht="20.100000000000001" customHeight="1">
      <c r="A27" s="198"/>
      <c r="B27" s="140" t="s">
        <v>1267</v>
      </c>
      <c r="C27" s="207"/>
      <c r="D27" s="280">
        <v>11</v>
      </c>
      <c r="E27" s="14"/>
      <c r="F27" s="14"/>
      <c r="G27" s="14"/>
      <c r="H27" s="14"/>
      <c r="I27" s="14"/>
      <c r="J27" s="14"/>
      <c r="K27" s="14"/>
      <c r="L27" s="280">
        <v>11</v>
      </c>
    </row>
    <row r="28" spans="1:13" ht="20.100000000000001" customHeight="1">
      <c r="A28" s="198"/>
      <c r="B28" s="140" t="s">
        <v>1268</v>
      </c>
      <c r="C28" s="207"/>
      <c r="D28" s="280">
        <v>12</v>
      </c>
      <c r="E28" s="14"/>
      <c r="F28" s="14"/>
      <c r="G28" s="14"/>
      <c r="H28" s="14"/>
      <c r="I28" s="14"/>
      <c r="J28" s="14"/>
      <c r="K28" s="14"/>
      <c r="L28" s="280">
        <v>12</v>
      </c>
    </row>
    <row r="29" spans="1:13" ht="20.100000000000001" customHeight="1">
      <c r="A29" s="204"/>
      <c r="B29" s="140" t="s">
        <v>1269</v>
      </c>
      <c r="C29" s="207"/>
      <c r="D29" s="280">
        <v>13</v>
      </c>
      <c r="E29" s="14"/>
      <c r="F29" s="14"/>
      <c r="G29" s="14"/>
      <c r="H29" s="14"/>
      <c r="I29" s="14"/>
      <c r="J29" s="14"/>
      <c r="K29" s="14"/>
      <c r="L29" s="280">
        <v>13</v>
      </c>
    </row>
    <row r="30" spans="1:13" ht="21.75" customHeight="1">
      <c r="A30" s="206"/>
      <c r="B30" s="236" t="s">
        <v>1270</v>
      </c>
      <c r="D30" s="280"/>
      <c r="E30" s="282"/>
      <c r="F30" s="282"/>
      <c r="G30" s="282"/>
      <c r="H30" s="282"/>
      <c r="I30" s="282"/>
      <c r="J30" s="143"/>
      <c r="K30" s="143"/>
      <c r="L30" s="280"/>
    </row>
    <row r="31" spans="1:13" ht="20.100000000000001" customHeight="1">
      <c r="A31" s="198"/>
      <c r="B31" s="200" t="s">
        <v>1265</v>
      </c>
      <c r="C31" s="201"/>
      <c r="D31" s="280">
        <v>14</v>
      </c>
      <c r="E31" s="14"/>
      <c r="F31" s="14"/>
      <c r="G31" s="14"/>
      <c r="H31" s="14"/>
      <c r="I31" s="14"/>
      <c r="J31" s="14"/>
      <c r="K31" s="14"/>
      <c r="L31" s="280">
        <v>14</v>
      </c>
    </row>
    <row r="32" spans="1:13" ht="20.100000000000001" customHeight="1">
      <c r="A32" s="206"/>
      <c r="B32" s="140" t="s">
        <v>1266</v>
      </c>
      <c r="C32" s="207"/>
      <c r="D32" s="280">
        <v>15</v>
      </c>
      <c r="E32" s="14"/>
      <c r="F32" s="14"/>
      <c r="G32" s="14"/>
      <c r="H32" s="14"/>
      <c r="I32" s="14"/>
      <c r="J32" s="14"/>
      <c r="K32" s="14"/>
      <c r="L32" s="280">
        <v>15</v>
      </c>
      <c r="M32" s="203"/>
    </row>
    <row r="33" spans="1:13" ht="20.100000000000001" customHeight="1">
      <c r="A33" s="198"/>
      <c r="B33" s="140" t="s">
        <v>1267</v>
      </c>
      <c r="C33" s="207"/>
      <c r="D33" s="280">
        <v>16</v>
      </c>
      <c r="E33" s="14"/>
      <c r="F33" s="14"/>
      <c r="G33" s="14"/>
      <c r="H33" s="14"/>
      <c r="I33" s="14"/>
      <c r="J33" s="14"/>
      <c r="K33" s="14"/>
      <c r="L33" s="280">
        <v>16</v>
      </c>
    </row>
    <row r="34" spans="1:13" ht="20.100000000000001" customHeight="1">
      <c r="A34" s="206"/>
      <c r="B34" s="140" t="s">
        <v>1268</v>
      </c>
      <c r="C34" s="207"/>
      <c r="D34" s="280">
        <v>17</v>
      </c>
      <c r="E34" s="14"/>
      <c r="F34" s="14"/>
      <c r="G34" s="14"/>
      <c r="H34" s="14"/>
      <c r="I34" s="14"/>
      <c r="J34" s="14"/>
      <c r="K34" s="14"/>
      <c r="L34" s="280">
        <v>17</v>
      </c>
    </row>
    <row r="35" spans="1:13" ht="20.100000000000001" customHeight="1">
      <c r="A35" s="198"/>
      <c r="B35" s="140" t="s">
        <v>1269</v>
      </c>
      <c r="C35" s="207"/>
      <c r="D35" s="280">
        <v>18</v>
      </c>
      <c r="E35" s="14"/>
      <c r="F35" s="14"/>
      <c r="G35" s="14"/>
      <c r="H35" s="14"/>
      <c r="I35" s="14"/>
      <c r="J35" s="14"/>
      <c r="K35" s="14"/>
      <c r="L35" s="280">
        <v>18</v>
      </c>
    </row>
    <row r="36" spans="1:13" ht="21.75" customHeight="1">
      <c r="A36" s="198"/>
      <c r="B36" s="236" t="s">
        <v>1271</v>
      </c>
      <c r="D36" s="280"/>
      <c r="E36" s="143"/>
      <c r="F36" s="143"/>
      <c r="G36" s="143"/>
      <c r="H36" s="143"/>
      <c r="I36" s="143"/>
      <c r="J36" s="143"/>
      <c r="K36" s="143"/>
      <c r="L36" s="280"/>
    </row>
    <row r="37" spans="1:13" ht="15" customHeight="1">
      <c r="A37" s="198"/>
      <c r="B37" s="200" t="s">
        <v>1272</v>
      </c>
      <c r="C37" s="201"/>
      <c r="D37" s="280">
        <v>19</v>
      </c>
      <c r="E37" s="14"/>
      <c r="F37" s="243"/>
      <c r="G37" s="243"/>
      <c r="H37" s="243"/>
      <c r="I37" s="14"/>
      <c r="J37" s="417"/>
      <c r="K37" s="14"/>
      <c r="L37" s="280">
        <v>19</v>
      </c>
    </row>
    <row r="38" spans="1:13" ht="20.100000000000001" customHeight="1">
      <c r="A38" s="206"/>
      <c r="B38" s="434" t="s">
        <v>1273</v>
      </c>
      <c r="C38" s="207"/>
      <c r="D38" s="280">
        <v>20</v>
      </c>
      <c r="E38" s="14"/>
      <c r="F38" s="243"/>
      <c r="G38" s="243"/>
      <c r="H38" s="243"/>
      <c r="I38" s="14"/>
      <c r="J38" s="14"/>
      <c r="K38" s="14"/>
      <c r="L38" s="280">
        <v>20</v>
      </c>
      <c r="M38" s="203"/>
    </row>
    <row r="39" spans="1:13" ht="20.100000000000001" customHeight="1">
      <c r="A39" s="198"/>
      <c r="B39" s="434" t="s">
        <v>1274</v>
      </c>
      <c r="C39" s="207"/>
      <c r="D39" s="280">
        <v>21</v>
      </c>
      <c r="E39" s="14"/>
      <c r="F39" s="243"/>
      <c r="G39" s="243"/>
      <c r="H39" s="243"/>
      <c r="I39" s="14"/>
      <c r="J39" s="14"/>
      <c r="K39" s="14"/>
      <c r="L39" s="280">
        <v>21</v>
      </c>
    </row>
    <row r="40" spans="1:13" ht="20.100000000000001" customHeight="1">
      <c r="A40" s="206"/>
      <c r="B40" s="434" t="s">
        <v>1275</v>
      </c>
      <c r="C40" s="207"/>
      <c r="D40" s="280">
        <v>22</v>
      </c>
      <c r="E40" s="14"/>
      <c r="F40" s="243"/>
      <c r="G40" s="243"/>
      <c r="H40" s="243"/>
      <c r="I40" s="14"/>
      <c r="J40" s="14"/>
      <c r="K40" s="14"/>
      <c r="L40" s="280">
        <v>22</v>
      </c>
    </row>
    <row r="41" spans="1:13" ht="20.100000000000001" customHeight="1">
      <c r="A41" s="206"/>
      <c r="B41" s="434" t="s">
        <v>1276</v>
      </c>
      <c r="C41" s="207"/>
      <c r="D41" s="280">
        <v>23</v>
      </c>
      <c r="E41" s="14"/>
      <c r="F41" s="243"/>
      <c r="G41" s="243"/>
      <c r="H41" s="243"/>
      <c r="I41" s="14"/>
      <c r="J41" s="14"/>
      <c r="K41" s="14"/>
      <c r="L41" s="280">
        <v>23</v>
      </c>
    </row>
    <row r="42" spans="1:13" ht="20.100000000000001" customHeight="1">
      <c r="A42" s="212"/>
      <c r="B42" s="458" t="s">
        <v>1432</v>
      </c>
      <c r="C42" s="207"/>
      <c r="D42" s="280">
        <v>26</v>
      </c>
      <c r="E42" s="14"/>
      <c r="F42" s="243"/>
      <c r="G42" s="243"/>
      <c r="H42" s="243"/>
      <c r="I42" s="14"/>
      <c r="J42" s="14"/>
      <c r="K42" s="14"/>
      <c r="L42" s="280">
        <v>26</v>
      </c>
    </row>
    <row r="43" spans="1:13" ht="20.100000000000001" customHeight="1">
      <c r="A43" s="212"/>
      <c r="B43" s="458" t="s">
        <v>1433</v>
      </c>
      <c r="C43" s="207"/>
      <c r="D43" s="280">
        <v>27</v>
      </c>
      <c r="E43" s="14"/>
      <c r="F43" s="243"/>
      <c r="G43" s="243"/>
      <c r="H43" s="243"/>
      <c r="I43" s="14"/>
      <c r="J43" s="14"/>
      <c r="K43" s="14"/>
      <c r="L43" s="280">
        <v>27</v>
      </c>
    </row>
    <row r="44" spans="1:13" ht="20.100000000000001" customHeight="1">
      <c r="A44" s="212"/>
      <c r="B44" s="458" t="s">
        <v>1434</v>
      </c>
      <c r="C44" s="207"/>
      <c r="D44" s="280">
        <v>28</v>
      </c>
      <c r="E44" s="14"/>
      <c r="F44" s="243"/>
      <c r="G44" s="243"/>
      <c r="H44" s="243"/>
      <c r="I44" s="14"/>
      <c r="J44" s="14"/>
      <c r="K44" s="14"/>
      <c r="L44" s="280">
        <v>28</v>
      </c>
    </row>
    <row r="45" spans="1:13" ht="20.100000000000001" customHeight="1">
      <c r="A45" s="212"/>
      <c r="B45" s="459" t="s">
        <v>1435</v>
      </c>
      <c r="C45" s="207"/>
      <c r="D45" s="280">
        <v>29</v>
      </c>
      <c r="E45" s="14"/>
      <c r="F45" s="243"/>
      <c r="G45" s="243"/>
      <c r="H45" s="243"/>
      <c r="I45" s="14"/>
      <c r="J45" s="14"/>
      <c r="K45" s="14"/>
      <c r="L45" s="280">
        <v>29</v>
      </c>
    </row>
    <row r="46" spans="1:13" ht="20.100000000000001" customHeight="1">
      <c r="A46" s="212"/>
      <c r="B46" s="458" t="s">
        <v>1432</v>
      </c>
      <c r="C46" s="207"/>
      <c r="D46" s="280">
        <v>30</v>
      </c>
      <c r="E46" s="14"/>
      <c r="F46" s="243"/>
      <c r="G46" s="243"/>
      <c r="H46" s="243"/>
      <c r="I46" s="14"/>
      <c r="J46" s="14"/>
      <c r="K46" s="14"/>
      <c r="L46" s="280">
        <v>30</v>
      </c>
    </row>
    <row r="47" spans="1:13" ht="20.100000000000001" customHeight="1">
      <c r="A47" s="212"/>
      <c r="B47" s="458" t="s">
        <v>1433</v>
      </c>
      <c r="C47" s="207"/>
      <c r="D47" s="280">
        <v>31</v>
      </c>
      <c r="E47" s="14"/>
      <c r="F47" s="243"/>
      <c r="G47" s="243"/>
      <c r="H47" s="243"/>
      <c r="I47" s="14"/>
      <c r="J47" s="14"/>
      <c r="K47" s="14"/>
      <c r="L47" s="280">
        <v>31</v>
      </c>
    </row>
    <row r="48" spans="1:13" ht="20.100000000000001" customHeight="1">
      <c r="A48" s="480"/>
      <c r="B48" s="435" t="s">
        <v>1434</v>
      </c>
      <c r="C48" s="207"/>
      <c r="D48" s="280">
        <v>32</v>
      </c>
      <c r="E48" s="14"/>
      <c r="F48" s="243"/>
      <c r="G48" s="243"/>
      <c r="H48" s="243"/>
      <c r="I48" s="14"/>
      <c r="J48" s="14"/>
      <c r="K48" s="14"/>
      <c r="L48" s="280">
        <v>32</v>
      </c>
    </row>
    <row r="49" spans="1:12" ht="6" customHeight="1">
      <c r="A49" s="128"/>
      <c r="B49" s="128"/>
      <c r="C49" s="128"/>
      <c r="D49" s="8"/>
      <c r="E49" s="128"/>
      <c r="F49" s="128"/>
      <c r="G49" s="128"/>
      <c r="H49" s="128"/>
      <c r="I49" s="128"/>
      <c r="J49" s="128"/>
      <c r="K49" s="128"/>
      <c r="L49" s="128"/>
    </row>
    <row r="50" spans="1:12">
      <c r="A50" s="437"/>
      <c r="B50" s="452" t="str">
        <f>"Version: "&amp;E57</f>
        <v>Version: 1.01.E0</v>
      </c>
      <c r="C50" s="31"/>
      <c r="D50" s="436"/>
      <c r="L50" s="436" t="s">
        <v>157</v>
      </c>
    </row>
    <row r="51" spans="1:12" s="4" customFormat="1" ht="15" customHeight="1">
      <c r="L51" s="6"/>
    </row>
    <row r="52" spans="1:12" s="4" customFormat="1" ht="15" customHeight="1">
      <c r="L52" s="6"/>
    </row>
    <row r="53" spans="1:12" s="4" customFormat="1" ht="15" customHeight="1"/>
    <row r="54" spans="1:12" s="4" customFormat="1" ht="15" customHeight="1">
      <c r="B54" s="3"/>
      <c r="C54" s="437"/>
      <c r="D54" s="31" t="s">
        <v>94</v>
      </c>
      <c r="E54" s="16" t="str">
        <f>K2</f>
        <v>XXXXXX</v>
      </c>
    </row>
    <row r="55" spans="1:12" s="4" customFormat="1" ht="15" customHeight="1">
      <c r="B55" s="5"/>
      <c r="C55" s="6"/>
      <c r="E55" s="17" t="str">
        <f>K1</f>
        <v>CSIB_CRFUNDS</v>
      </c>
    </row>
    <row r="56" spans="1:12" s="4" customFormat="1" ht="15" customHeight="1">
      <c r="B56" s="5"/>
      <c r="C56" s="6"/>
      <c r="E56" s="18" t="str">
        <f>K3</f>
        <v>DD.MM.YYYY</v>
      </c>
    </row>
    <row r="57" spans="1:12" s="4" customFormat="1" ht="15" customHeight="1">
      <c r="B57" s="19"/>
      <c r="C57" s="409"/>
      <c r="E57" s="453" t="s">
        <v>1436</v>
      </c>
    </row>
    <row r="58" spans="1:12" s="4" customFormat="1" ht="15" customHeight="1">
      <c r="B58" s="5"/>
      <c r="C58" s="6"/>
      <c r="E58" s="17" t="str">
        <f>E9</f>
        <v>col. 01</v>
      </c>
    </row>
    <row r="59" spans="1:12" s="4" customFormat="1" ht="15" customHeight="1">
      <c r="B59" s="10"/>
      <c r="C59" s="8"/>
      <c r="D59" s="8"/>
      <c r="E59" s="410"/>
    </row>
    <row r="60" spans="1:12" s="4" customFormat="1" ht="16.5" customHeight="1">
      <c r="B60" s="6"/>
      <c r="C60" s="6"/>
      <c r="D60" s="7"/>
      <c r="E60" s="411"/>
    </row>
    <row r="61" spans="1:12" s="4" customFormat="1"/>
  </sheetData>
  <sheetProtection sheet="1" objects="1" scenarios="1"/>
  <mergeCells count="1">
    <mergeCell ref="E1:I2"/>
  </mergeCells>
  <printOptions gridLinesSet="0"/>
  <pageMargins left="0.39370078740157483" right="0.39370078740157483" top="0.78740157480314965" bottom="0.78740157480314965" header="0.31496062992125984" footer="0.31496062992125984"/>
  <pageSetup paperSize="9" scale="57" pageOrder="overThenDown" orientation="landscape" horizontalDpi="1200" verticalDpi="1200" r:id="rId1"/>
  <headerFooter alignWithMargins="0">
    <oddFooter>&amp;L&amp;"Arial,Fett"SNB Confidential&amp;C&amp;D&amp;RPage &amp;P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showRowColHeaders="0" showZeros="0" zoomScale="80" zoomScaleNormal="80" workbookViewId="0">
      <selection activeCell="I13" sqref="I13"/>
    </sheetView>
  </sheetViews>
  <sheetFormatPr baseColWidth="10" defaultColWidth="13.28515625" defaultRowHeight="12.75"/>
  <cols>
    <col min="1" max="1" width="13" style="372" customWidth="1"/>
    <col min="2" max="2" width="32.5703125" style="4" customWidth="1"/>
    <col min="3" max="3" width="13.140625" style="4" customWidth="1"/>
    <col min="4" max="4" width="15.85546875" style="4" customWidth="1"/>
    <col min="5" max="5" width="10.85546875" style="4" customWidth="1"/>
    <col min="6" max="6" width="15.85546875" style="4" customWidth="1"/>
    <col min="7" max="7" width="18.5703125" style="4" customWidth="1"/>
    <col min="8" max="8" width="1.85546875" style="4" customWidth="1"/>
    <col min="9" max="9" width="21.7109375" style="4" customWidth="1"/>
    <col min="10" max="10" width="4.7109375" style="4" customWidth="1"/>
    <col min="11" max="11" width="13" style="4" customWidth="1"/>
    <col min="12" max="16384" width="13.28515625" style="4"/>
  </cols>
  <sheetData>
    <row r="1" spans="1:12" ht="20.25" customHeight="1">
      <c r="H1" s="126" t="s">
        <v>61</v>
      </c>
      <c r="I1" s="300" t="s">
        <v>1223</v>
      </c>
    </row>
    <row r="2" spans="1:12" ht="20.25" customHeight="1">
      <c r="A2" s="373"/>
      <c r="B2" s="6"/>
      <c r="H2" s="126" t="s">
        <v>1224</v>
      </c>
      <c r="I2" s="301" t="str">
        <f>'Delivery note'!H3</f>
        <v>XXXXXX</v>
      </c>
    </row>
    <row r="3" spans="1:12" ht="20.25" customHeight="1">
      <c r="H3" s="126" t="s">
        <v>546</v>
      </c>
      <c r="I3" s="302" t="str">
        <f>'Delivery note'!H4</f>
        <v>DD.MM.YYYY</v>
      </c>
    </row>
    <row r="4" spans="1:12" ht="50.1" customHeight="1">
      <c r="A4" s="373"/>
      <c r="B4" s="665" t="s">
        <v>1279</v>
      </c>
      <c r="C4" s="665"/>
      <c r="D4" s="665"/>
      <c r="E4" s="665"/>
      <c r="F4" s="665"/>
      <c r="G4" s="665"/>
    </row>
    <row r="5" spans="1:12" ht="20.100000000000001" customHeight="1">
      <c r="A5" s="373"/>
      <c r="B5" s="666" t="s">
        <v>601</v>
      </c>
      <c r="C5" s="666"/>
      <c r="D5" s="666"/>
      <c r="E5" s="666"/>
      <c r="F5" s="666"/>
      <c r="G5" s="666"/>
    </row>
    <row r="6" spans="1:12" ht="15" customHeight="1">
      <c r="B6" s="667" t="s">
        <v>6</v>
      </c>
      <c r="C6" s="667"/>
      <c r="D6" s="667"/>
      <c r="E6" s="667"/>
      <c r="F6" s="667"/>
      <c r="G6" s="667"/>
      <c r="H6" s="102"/>
      <c r="I6" s="102"/>
    </row>
    <row r="7" spans="1:12" ht="6.75" customHeight="1">
      <c r="G7" s="102"/>
      <c r="H7" s="102"/>
    </row>
    <row r="8" spans="1:12" ht="12.75" customHeight="1">
      <c r="B8" s="129"/>
      <c r="C8" s="130"/>
      <c r="J8" s="8"/>
      <c r="K8" s="6"/>
      <c r="L8" s="6"/>
    </row>
    <row r="9" spans="1:12" ht="18" customHeight="1">
      <c r="A9" s="389"/>
      <c r="B9" s="42" t="s">
        <v>62</v>
      </c>
      <c r="C9" s="131"/>
      <c r="D9" s="437"/>
      <c r="E9" s="437"/>
      <c r="F9" s="437"/>
      <c r="G9" s="437"/>
      <c r="H9" s="132"/>
      <c r="I9" s="388" t="s">
        <v>166</v>
      </c>
      <c r="J9" s="151"/>
      <c r="K9" s="5"/>
      <c r="L9" s="4" t="s">
        <v>1222</v>
      </c>
    </row>
    <row r="10" spans="1:12" ht="15" customHeight="1">
      <c r="A10" s="387"/>
      <c r="B10" s="8"/>
      <c r="C10" s="8"/>
      <c r="D10" s="8"/>
      <c r="E10" s="8"/>
      <c r="F10" s="8"/>
      <c r="G10" s="75"/>
      <c r="H10" s="133"/>
      <c r="I10" s="242" t="s">
        <v>95</v>
      </c>
      <c r="J10" s="153"/>
      <c r="K10" s="5"/>
      <c r="L10" s="287"/>
    </row>
    <row r="11" spans="1:12" ht="5.25" customHeight="1">
      <c r="A11" s="373"/>
      <c r="B11" s="671"/>
      <c r="C11" s="671"/>
      <c r="D11" s="671"/>
      <c r="E11" s="671"/>
      <c r="F11" s="671"/>
      <c r="G11" s="671"/>
      <c r="H11" s="134"/>
      <c r="I11" s="135"/>
      <c r="J11" s="280"/>
      <c r="K11" s="5"/>
    </row>
    <row r="12" spans="1:12" ht="18" customHeight="1" thickBot="1">
      <c r="A12" s="379">
        <v>1</v>
      </c>
      <c r="B12" s="668" t="s">
        <v>1221</v>
      </c>
      <c r="C12" s="668"/>
      <c r="D12" s="668"/>
      <c r="E12" s="668"/>
      <c r="F12" s="668"/>
      <c r="G12" s="668"/>
      <c r="H12" s="134"/>
      <c r="I12" s="279">
        <f>SUM(I13:I19)</f>
        <v>0</v>
      </c>
      <c r="J12" s="280">
        <v>13</v>
      </c>
      <c r="K12" s="5"/>
      <c r="L12" s="115" t="str">
        <f>IF(I12&gt;=0,"OK","ERROR")</f>
        <v>OK</v>
      </c>
    </row>
    <row r="13" spans="1:12" ht="18" customHeight="1" thickTop="1">
      <c r="A13" s="377" t="s">
        <v>1220</v>
      </c>
      <c r="B13" s="650" t="s">
        <v>1219</v>
      </c>
      <c r="C13" s="650"/>
      <c r="D13" s="650"/>
      <c r="E13" s="650"/>
      <c r="F13" s="650"/>
      <c r="G13" s="650"/>
      <c r="H13" s="134"/>
      <c r="I13" s="138"/>
      <c r="J13" s="280">
        <v>14</v>
      </c>
      <c r="K13" s="5"/>
      <c r="L13" s="115" t="str">
        <f>IF(I13&gt;0,"OK","ERROR")</f>
        <v>ERROR</v>
      </c>
    </row>
    <row r="14" spans="1:12" ht="18" customHeight="1">
      <c r="A14" s="377" t="s">
        <v>1218</v>
      </c>
      <c r="B14" s="650" t="s">
        <v>1217</v>
      </c>
      <c r="C14" s="650"/>
      <c r="D14" s="650"/>
      <c r="E14" s="650"/>
      <c r="F14" s="650"/>
      <c r="G14" s="650"/>
      <c r="H14" s="134"/>
      <c r="I14" s="138"/>
      <c r="J14" s="280">
        <v>15</v>
      </c>
      <c r="K14" s="5"/>
      <c r="L14" s="115" t="str">
        <f>IF(I14&lt;=0,"OK","ERROR")</f>
        <v>OK</v>
      </c>
    </row>
    <row r="15" spans="1:12" ht="18" customHeight="1">
      <c r="A15" s="377" t="s">
        <v>65</v>
      </c>
      <c r="B15" s="618" t="s">
        <v>1216</v>
      </c>
      <c r="C15" s="619"/>
      <c r="D15" s="619"/>
      <c r="E15" s="619"/>
      <c r="F15" s="619"/>
      <c r="G15" s="619"/>
      <c r="H15" s="134"/>
      <c r="I15" s="138"/>
      <c r="J15" s="280">
        <v>16</v>
      </c>
      <c r="K15" s="5"/>
      <c r="L15" s="115" t="str">
        <f>IF(I15&lt;=0,"OK","ERROR")</f>
        <v>OK</v>
      </c>
    </row>
    <row r="16" spans="1:12" ht="18" customHeight="1">
      <c r="A16" s="377" t="s">
        <v>1215</v>
      </c>
      <c r="B16" s="618" t="s">
        <v>1214</v>
      </c>
      <c r="C16" s="619"/>
      <c r="D16" s="619"/>
      <c r="E16" s="619"/>
      <c r="F16" s="619"/>
      <c r="G16" s="619"/>
      <c r="H16" s="134"/>
      <c r="I16" s="138"/>
      <c r="J16" s="280">
        <v>17</v>
      </c>
      <c r="K16" s="5"/>
    </row>
    <row r="17" spans="1:13" ht="18" customHeight="1">
      <c r="A17" s="377" t="s">
        <v>1213</v>
      </c>
      <c r="B17" s="618" t="s">
        <v>1212</v>
      </c>
      <c r="C17" s="619"/>
      <c r="D17" s="619"/>
      <c r="E17" s="619"/>
      <c r="F17" s="619"/>
      <c r="G17" s="619"/>
      <c r="H17" s="134"/>
      <c r="I17" s="14"/>
      <c r="J17" s="280">
        <v>18</v>
      </c>
      <c r="K17" s="5"/>
    </row>
    <row r="18" spans="1:13" ht="18" customHeight="1">
      <c r="A18" s="377" t="s">
        <v>1211</v>
      </c>
      <c r="B18" s="618" t="s">
        <v>1210</v>
      </c>
      <c r="C18" s="619"/>
      <c r="D18" s="619"/>
      <c r="E18" s="619"/>
      <c r="F18" s="619"/>
      <c r="G18" s="619"/>
      <c r="H18" s="134"/>
      <c r="I18" s="138"/>
      <c r="J18" s="280">
        <v>19</v>
      </c>
      <c r="K18" s="5"/>
      <c r="L18" s="115" t="str">
        <f>IF(I18&gt;=0,"OK","ERROR")</f>
        <v>OK</v>
      </c>
    </row>
    <row r="19" spans="1:13" ht="18" customHeight="1">
      <c r="A19" s="377" t="s">
        <v>1209</v>
      </c>
      <c r="B19" s="618" t="s">
        <v>1208</v>
      </c>
      <c r="C19" s="619"/>
      <c r="D19" s="619"/>
      <c r="E19" s="619"/>
      <c r="F19" s="619"/>
      <c r="G19" s="619"/>
      <c r="H19" s="134"/>
      <c r="I19" s="138"/>
      <c r="J19" s="280">
        <v>20</v>
      </c>
      <c r="K19" s="5"/>
    </row>
    <row r="20" spans="1:13" ht="6" customHeight="1">
      <c r="A20" s="383"/>
      <c r="B20" s="576"/>
      <c r="C20" s="576"/>
      <c r="D20" s="576"/>
      <c r="E20" s="576"/>
      <c r="F20" s="576"/>
      <c r="G20" s="576"/>
      <c r="H20" s="8"/>
      <c r="I20" s="277"/>
      <c r="J20" s="382"/>
      <c r="K20" s="6"/>
      <c r="L20" s="142"/>
      <c r="M20" s="6"/>
    </row>
    <row r="21" spans="1:13" ht="6" customHeight="1">
      <c r="A21" s="381"/>
      <c r="B21" s="315"/>
      <c r="C21" s="315"/>
      <c r="D21" s="315"/>
      <c r="E21" s="315"/>
      <c r="F21" s="315"/>
      <c r="G21" s="315"/>
      <c r="H21" s="6"/>
      <c r="I21" s="380"/>
      <c r="J21" s="343"/>
      <c r="K21" s="6"/>
      <c r="L21" s="142"/>
      <c r="M21" s="6"/>
    </row>
    <row r="22" spans="1:13" ht="18" customHeight="1" thickBot="1">
      <c r="A22" s="379">
        <v>2</v>
      </c>
      <c r="B22" s="673" t="s">
        <v>1207</v>
      </c>
      <c r="C22" s="673"/>
      <c r="D22" s="673"/>
      <c r="E22" s="673"/>
      <c r="F22" s="673"/>
      <c r="G22" s="673"/>
      <c r="H22" s="134"/>
      <c r="I22" s="279">
        <f>I23+I26+I34+I39</f>
        <v>0</v>
      </c>
      <c r="J22" s="343">
        <v>21</v>
      </c>
      <c r="K22" s="5"/>
      <c r="L22" s="115" t="str">
        <f>IF(I22=I12,"OK","ERROR")</f>
        <v>OK</v>
      </c>
      <c r="M22" s="386"/>
    </row>
    <row r="23" spans="1:13" ht="18" customHeight="1" thickTop="1" thickBot="1">
      <c r="A23" s="384">
        <v>2.1</v>
      </c>
      <c r="B23" s="670" t="s">
        <v>1206</v>
      </c>
      <c r="C23" s="670"/>
      <c r="D23" s="670"/>
      <c r="E23" s="670"/>
      <c r="F23" s="670"/>
      <c r="G23" s="670"/>
      <c r="H23" s="134"/>
      <c r="I23" s="279">
        <f>SUM(I24:I25)</f>
        <v>0</v>
      </c>
      <c r="J23" s="280">
        <v>22</v>
      </c>
      <c r="K23" s="5"/>
      <c r="L23" s="115" t="str">
        <f>IF(I23&gt;=0,"OK","ERROR")</f>
        <v>OK</v>
      </c>
    </row>
    <row r="24" spans="1:13" ht="18" customHeight="1" thickTop="1">
      <c r="A24" s="385" t="s">
        <v>1205</v>
      </c>
      <c r="B24" s="618" t="s">
        <v>1204</v>
      </c>
      <c r="C24" s="619"/>
      <c r="D24" s="619"/>
      <c r="E24" s="619"/>
      <c r="F24" s="619"/>
      <c r="G24" s="619"/>
      <c r="H24" s="134"/>
      <c r="I24" s="14"/>
      <c r="J24" s="280">
        <v>23</v>
      </c>
      <c r="K24" s="5"/>
      <c r="L24" s="115" t="str">
        <f>IF(I24&gt;0,"OK","ERROR")</f>
        <v>ERROR</v>
      </c>
    </row>
    <row r="25" spans="1:13" ht="18" customHeight="1">
      <c r="A25" s="385" t="s">
        <v>1203</v>
      </c>
      <c r="B25" s="618" t="s">
        <v>1202</v>
      </c>
      <c r="C25" s="619"/>
      <c r="D25" s="619"/>
      <c r="E25" s="619"/>
      <c r="F25" s="619"/>
      <c r="G25" s="619"/>
      <c r="H25" s="134"/>
      <c r="I25" s="14"/>
      <c r="J25" s="280">
        <v>24</v>
      </c>
      <c r="K25" s="5"/>
      <c r="L25" s="115" t="str">
        <f>IF(I25&lt;=0,"OK","ERROR")</f>
        <v>OK</v>
      </c>
    </row>
    <row r="26" spans="1:13" ht="18" customHeight="1" thickBot="1">
      <c r="A26" s="384" t="s">
        <v>1201</v>
      </c>
      <c r="B26" s="674" t="s">
        <v>1200</v>
      </c>
      <c r="C26" s="674"/>
      <c r="D26" s="674"/>
      <c r="E26" s="674"/>
      <c r="F26" s="674"/>
      <c r="G26" s="674"/>
      <c r="H26" s="134"/>
      <c r="I26" s="279">
        <f>SUM(I27:I33)</f>
        <v>0</v>
      </c>
      <c r="J26" s="280">
        <v>25</v>
      </c>
      <c r="K26" s="5"/>
    </row>
    <row r="27" spans="1:13" ht="30" customHeight="1" thickTop="1">
      <c r="A27" s="377" t="s">
        <v>275</v>
      </c>
      <c r="B27" s="603" t="s">
        <v>1437</v>
      </c>
      <c r="C27" s="603"/>
      <c r="D27" s="603"/>
      <c r="E27" s="603"/>
      <c r="F27" s="603"/>
      <c r="G27" s="603"/>
      <c r="H27" s="134"/>
      <c r="I27" s="138"/>
      <c r="J27" s="280">
        <v>26</v>
      </c>
      <c r="K27" s="5"/>
      <c r="L27" s="115" t="str">
        <f>IF(I27&gt;=0,"OK","ERROR")</f>
        <v>OK</v>
      </c>
    </row>
    <row r="28" spans="1:13" ht="30" customHeight="1">
      <c r="A28" s="377" t="s">
        <v>452</v>
      </c>
      <c r="B28" s="568" t="s">
        <v>1438</v>
      </c>
      <c r="C28" s="522"/>
      <c r="D28" s="522"/>
      <c r="E28" s="522"/>
      <c r="F28" s="522"/>
      <c r="G28" s="522"/>
      <c r="H28" s="134"/>
      <c r="I28" s="14"/>
      <c r="J28" s="280">
        <v>27</v>
      </c>
      <c r="K28" s="5"/>
      <c r="L28" s="115" t="str">
        <f>IF(I28&gt;=0,"OK","ERROR")</f>
        <v>OK</v>
      </c>
    </row>
    <row r="29" spans="1:13" ht="18" customHeight="1">
      <c r="A29" s="377" t="s">
        <v>1199</v>
      </c>
      <c r="B29" s="650" t="s">
        <v>1198</v>
      </c>
      <c r="C29" s="650"/>
      <c r="D29" s="650"/>
      <c r="E29" s="650"/>
      <c r="F29" s="650"/>
      <c r="G29" s="650"/>
      <c r="H29" s="134"/>
      <c r="I29" s="138"/>
      <c r="J29" s="280">
        <v>28</v>
      </c>
      <c r="K29" s="5"/>
      <c r="L29" s="115" t="str">
        <f>IF(I29&gt;=0,"OK","ERROR")</f>
        <v>OK</v>
      </c>
    </row>
    <row r="30" spans="1:13" ht="18" customHeight="1">
      <c r="A30" s="377" t="s">
        <v>1197</v>
      </c>
      <c r="B30" s="618" t="s">
        <v>1196</v>
      </c>
      <c r="C30" s="619"/>
      <c r="D30" s="619"/>
      <c r="E30" s="619"/>
      <c r="F30" s="619"/>
      <c r="G30" s="619"/>
      <c r="H30" s="134"/>
      <c r="I30" s="14"/>
      <c r="J30" s="280">
        <v>29</v>
      </c>
      <c r="K30" s="5"/>
      <c r="L30" s="115" t="str">
        <f>IF(I30&lt;=0,"OK","ERROR")</f>
        <v>OK</v>
      </c>
    </row>
    <row r="31" spans="1:13" ht="18" customHeight="1">
      <c r="A31" s="377" t="s">
        <v>1195</v>
      </c>
      <c r="B31" s="618" t="s">
        <v>1194</v>
      </c>
      <c r="C31" s="619"/>
      <c r="D31" s="619"/>
      <c r="E31" s="619"/>
      <c r="F31" s="619"/>
      <c r="G31" s="619"/>
      <c r="H31" s="134"/>
      <c r="I31" s="14"/>
      <c r="J31" s="280">
        <v>30</v>
      </c>
      <c r="K31" s="5"/>
      <c r="L31" s="115" t="str">
        <f>IF(I31&lt;=0,"OK","ERROR")</f>
        <v>OK</v>
      </c>
    </row>
    <row r="32" spans="1:13" ht="18" customHeight="1">
      <c r="A32" s="377" t="s">
        <v>1193</v>
      </c>
      <c r="B32" s="618" t="s">
        <v>1192</v>
      </c>
      <c r="C32" s="619"/>
      <c r="D32" s="619"/>
      <c r="E32" s="619"/>
      <c r="F32" s="619"/>
      <c r="G32" s="619"/>
      <c r="H32" s="134"/>
      <c r="I32" s="14"/>
      <c r="J32" s="280">
        <v>31</v>
      </c>
      <c r="K32" s="5"/>
      <c r="L32" s="115" t="str">
        <f>IF(AND(I32&gt;=0,I32&gt;=-1*I33),"OK","ERROR")</f>
        <v>OK</v>
      </c>
    </row>
    <row r="33" spans="1:13" ht="18" customHeight="1">
      <c r="A33" s="377" t="s">
        <v>1191</v>
      </c>
      <c r="B33" s="618" t="s">
        <v>1190</v>
      </c>
      <c r="C33" s="619"/>
      <c r="D33" s="619"/>
      <c r="E33" s="619"/>
      <c r="F33" s="619"/>
      <c r="G33" s="619"/>
      <c r="H33" s="134"/>
      <c r="I33" s="14"/>
      <c r="J33" s="280">
        <v>32</v>
      </c>
      <c r="K33" s="5"/>
      <c r="L33" s="115" t="str">
        <f>IF(I33&lt;=0,"OK","ERROR")</f>
        <v>OK</v>
      </c>
    </row>
    <row r="34" spans="1:13" ht="18" customHeight="1" thickBot="1">
      <c r="A34" s="384" t="s">
        <v>1189</v>
      </c>
      <c r="B34" s="670" t="s">
        <v>1188</v>
      </c>
      <c r="C34" s="670"/>
      <c r="D34" s="670"/>
      <c r="E34" s="670"/>
      <c r="F34" s="670"/>
      <c r="G34" s="670"/>
      <c r="H34" s="134"/>
      <c r="I34" s="279">
        <f>SUM(I35:I38)</f>
        <v>0</v>
      </c>
      <c r="J34" s="280">
        <v>33</v>
      </c>
      <c r="K34" s="5"/>
      <c r="L34" s="115" t="str">
        <f>IF(I34&gt;=0,"OK","ERROR")</f>
        <v>OK</v>
      </c>
    </row>
    <row r="35" spans="1:13" ht="18" customHeight="1" thickTop="1">
      <c r="A35" s="377" t="s">
        <v>73</v>
      </c>
      <c r="B35" s="618" t="s">
        <v>1187</v>
      </c>
      <c r="C35" s="618"/>
      <c r="D35" s="618"/>
      <c r="E35" s="618"/>
      <c r="F35" s="618"/>
      <c r="G35" s="618"/>
      <c r="H35" s="134"/>
      <c r="I35" s="138"/>
      <c r="J35" s="280">
        <v>34</v>
      </c>
      <c r="K35" s="5"/>
      <c r="L35" s="115" t="str">
        <f>IF(I35&gt;=0,"OK","ERROR")</f>
        <v>OK</v>
      </c>
    </row>
    <row r="36" spans="1:13" ht="18" customHeight="1">
      <c r="A36" s="377" t="s">
        <v>87</v>
      </c>
      <c r="B36" s="618" t="s">
        <v>1186</v>
      </c>
      <c r="C36" s="619"/>
      <c r="D36" s="619"/>
      <c r="E36" s="619"/>
      <c r="F36" s="619"/>
      <c r="G36" s="619"/>
      <c r="H36" s="134"/>
      <c r="I36" s="14"/>
      <c r="J36" s="280">
        <v>35</v>
      </c>
      <c r="K36" s="5"/>
      <c r="L36" s="115" t="str">
        <f>IF(I36&lt;=0,"OK","ERROR")</f>
        <v>OK</v>
      </c>
    </row>
    <row r="37" spans="1:13" ht="18" customHeight="1">
      <c r="A37" s="377" t="s">
        <v>1185</v>
      </c>
      <c r="B37" s="618" t="s">
        <v>1184</v>
      </c>
      <c r="C37" s="619"/>
      <c r="D37" s="619"/>
      <c r="E37" s="619"/>
      <c r="F37" s="619"/>
      <c r="G37" s="619"/>
      <c r="H37" s="134"/>
      <c r="I37" s="14"/>
      <c r="J37" s="280">
        <v>36</v>
      </c>
      <c r="K37" s="5"/>
      <c r="L37" s="115" t="str">
        <f>IF(I37&gt;=0,"OK","ERROR")</f>
        <v>OK</v>
      </c>
    </row>
    <row r="38" spans="1:13" ht="18" customHeight="1">
      <c r="A38" s="377" t="s">
        <v>1183</v>
      </c>
      <c r="B38" s="618" t="s">
        <v>1182</v>
      </c>
      <c r="C38" s="619"/>
      <c r="D38" s="619"/>
      <c r="E38" s="619"/>
      <c r="F38" s="619"/>
      <c r="G38" s="619"/>
      <c r="H38" s="134"/>
      <c r="I38" s="14"/>
      <c r="J38" s="280">
        <v>37</v>
      </c>
      <c r="K38" s="5"/>
      <c r="L38" s="115" t="str">
        <f>IF(I38&gt;=0,"OK","ERROR")</f>
        <v>OK</v>
      </c>
    </row>
    <row r="39" spans="1:13" ht="18" customHeight="1" thickBot="1">
      <c r="A39" s="384" t="s">
        <v>1181</v>
      </c>
      <c r="B39" s="670" t="s">
        <v>1180</v>
      </c>
      <c r="C39" s="670"/>
      <c r="D39" s="670"/>
      <c r="E39" s="670"/>
      <c r="F39" s="670"/>
      <c r="G39" s="670"/>
      <c r="H39" s="134"/>
      <c r="I39" s="279">
        <f>SUM(I40:I41)</f>
        <v>0</v>
      </c>
      <c r="J39" s="280">
        <v>38</v>
      </c>
      <c r="K39" s="5"/>
      <c r="L39" s="115" t="str">
        <f>IF(I39&gt;=0,"OK","ERROR")</f>
        <v>OK</v>
      </c>
    </row>
    <row r="40" spans="1:13" ht="18" customHeight="1" thickTop="1">
      <c r="A40" s="377" t="s">
        <v>88</v>
      </c>
      <c r="B40" s="618" t="s">
        <v>1179</v>
      </c>
      <c r="C40" s="619"/>
      <c r="D40" s="619"/>
      <c r="E40" s="619"/>
      <c r="F40" s="619"/>
      <c r="G40" s="619"/>
      <c r="H40" s="134"/>
      <c r="I40" s="14"/>
      <c r="J40" s="280">
        <v>39</v>
      </c>
      <c r="K40" s="5"/>
      <c r="L40" s="115" t="str">
        <f>IF(I40&gt;=0,"OK","ERROR")</f>
        <v>OK</v>
      </c>
    </row>
    <row r="41" spans="1:13" ht="18" customHeight="1">
      <c r="A41" s="377" t="s">
        <v>89</v>
      </c>
      <c r="B41" s="618" t="s">
        <v>1178</v>
      </c>
      <c r="C41" s="619"/>
      <c r="D41" s="619"/>
      <c r="E41" s="619"/>
      <c r="F41" s="619"/>
      <c r="G41" s="619"/>
      <c r="H41" s="134"/>
      <c r="I41" s="14"/>
      <c r="J41" s="280">
        <v>40</v>
      </c>
      <c r="K41" s="5"/>
      <c r="L41" s="115" t="str">
        <f>IF(I41&lt;=0,"OK","ERROR")</f>
        <v>OK</v>
      </c>
    </row>
    <row r="42" spans="1:13" ht="6" customHeight="1">
      <c r="A42" s="383"/>
      <c r="B42" s="576"/>
      <c r="C42" s="576"/>
      <c r="D42" s="576"/>
      <c r="E42" s="576"/>
      <c r="F42" s="576"/>
      <c r="G42" s="576"/>
      <c r="H42" s="8"/>
      <c r="I42" s="277"/>
      <c r="J42" s="382"/>
      <c r="K42" s="6"/>
      <c r="L42" s="142"/>
      <c r="M42" s="6"/>
    </row>
    <row r="43" spans="1:13" ht="6" customHeight="1">
      <c r="A43" s="381"/>
      <c r="B43" s="315"/>
      <c r="C43" s="315"/>
      <c r="D43" s="315"/>
      <c r="E43" s="315"/>
      <c r="F43" s="315"/>
      <c r="G43" s="315"/>
      <c r="H43" s="6"/>
      <c r="I43" s="380"/>
      <c r="J43" s="343"/>
      <c r="K43" s="6"/>
      <c r="L43" s="142"/>
      <c r="M43" s="6"/>
    </row>
    <row r="44" spans="1:13" ht="18" customHeight="1">
      <c r="A44" s="379">
        <v>3</v>
      </c>
      <c r="B44" s="433" t="s">
        <v>1177</v>
      </c>
      <c r="C44" s="432"/>
      <c r="D44" s="432"/>
      <c r="E44" s="432"/>
      <c r="F44" s="432"/>
      <c r="G44" s="432"/>
      <c r="H44" s="134"/>
      <c r="I44" s="186"/>
      <c r="J44" s="280">
        <v>41</v>
      </c>
      <c r="K44" s="5"/>
      <c r="L44" s="115" t="str">
        <f>IF(I44&gt;0,"OK","ERROR")</f>
        <v>ERROR</v>
      </c>
    </row>
    <row r="45" spans="1:13" ht="6" customHeight="1">
      <c r="A45" s="383"/>
      <c r="B45" s="576"/>
      <c r="C45" s="576"/>
      <c r="D45" s="576"/>
      <c r="E45" s="576"/>
      <c r="F45" s="576"/>
      <c r="G45" s="576"/>
      <c r="H45" s="8"/>
      <c r="I45" s="277"/>
      <c r="J45" s="382"/>
      <c r="K45" s="6"/>
      <c r="L45" s="142"/>
      <c r="M45" s="6"/>
    </row>
    <row r="46" spans="1:13" ht="6" customHeight="1">
      <c r="A46" s="381"/>
      <c r="B46" s="315"/>
      <c r="C46" s="315"/>
      <c r="D46" s="315"/>
      <c r="E46" s="315"/>
      <c r="F46" s="315"/>
      <c r="G46" s="315"/>
      <c r="H46" s="6"/>
      <c r="I46" s="380"/>
      <c r="J46" s="343"/>
      <c r="K46" s="6"/>
      <c r="L46" s="142"/>
      <c r="M46" s="6"/>
    </row>
    <row r="47" spans="1:13" ht="18" customHeight="1" thickBot="1">
      <c r="A47" s="379">
        <v>4</v>
      </c>
      <c r="B47" s="433" t="s">
        <v>1176</v>
      </c>
      <c r="C47" s="432"/>
      <c r="D47" s="432"/>
      <c r="E47" s="432"/>
      <c r="F47" s="432"/>
      <c r="G47" s="432"/>
      <c r="H47" s="134"/>
      <c r="I47" s="405">
        <f>IF(I22=0,0,I44/I22)</f>
        <v>0</v>
      </c>
      <c r="J47" s="280">
        <v>42</v>
      </c>
      <c r="K47" s="5"/>
      <c r="L47" s="115" t="str">
        <f>IF(AND(I47&gt;=0,I47&lt;=1),"OK","ERROR")</f>
        <v>OK</v>
      </c>
    </row>
    <row r="48" spans="1:13" ht="6" customHeight="1" thickTop="1">
      <c r="A48" s="378"/>
      <c r="B48" s="672"/>
      <c r="C48" s="672"/>
      <c r="D48" s="672"/>
      <c r="E48" s="672"/>
      <c r="F48" s="672"/>
      <c r="G48" s="672"/>
      <c r="H48" s="8"/>
      <c r="I48" s="167"/>
      <c r="J48" s="128"/>
      <c r="K48" s="6"/>
    </row>
    <row r="49" spans="1:10" ht="15" customHeight="1">
      <c r="A49" s="377"/>
      <c r="B49" s="21" t="str">
        <f>"Version: "&amp;D54</f>
        <v>Version: 3.00.E0</v>
      </c>
      <c r="C49" s="6"/>
      <c r="D49" s="6"/>
      <c r="E49" s="6"/>
      <c r="F49" s="6"/>
      <c r="G49" s="6"/>
      <c r="H49" s="6"/>
      <c r="J49" s="170" t="s">
        <v>157</v>
      </c>
    </row>
    <row r="50" spans="1:10">
      <c r="A50" s="373"/>
    </row>
    <row r="51" spans="1:10">
      <c r="A51" s="376"/>
      <c r="B51" s="238"/>
      <c r="C51" s="31" t="s">
        <v>94</v>
      </c>
      <c r="D51" s="16" t="str">
        <f>I2</f>
        <v>XXXXXX</v>
      </c>
    </row>
    <row r="52" spans="1:10">
      <c r="A52" s="375"/>
      <c r="B52" s="9"/>
      <c r="C52" s="6"/>
      <c r="D52" s="239" t="str">
        <f>I1</f>
        <v>CSIB_LERA_BIS</v>
      </c>
    </row>
    <row r="53" spans="1:10">
      <c r="A53" s="375"/>
      <c r="B53" s="9"/>
      <c r="C53" s="6"/>
      <c r="D53" s="239" t="str">
        <f>I3</f>
        <v>DD.MM.YYYY</v>
      </c>
    </row>
    <row r="54" spans="1:10">
      <c r="A54" s="375"/>
      <c r="B54" s="9"/>
      <c r="C54" s="6"/>
      <c r="D54" s="20" t="s">
        <v>625</v>
      </c>
    </row>
    <row r="55" spans="1:10">
      <c r="A55" s="375"/>
      <c r="B55" s="9"/>
      <c r="C55" s="6"/>
      <c r="D55" s="134" t="str">
        <f>I10</f>
        <v>col. 01</v>
      </c>
    </row>
    <row r="56" spans="1:10">
      <c r="A56" s="374"/>
      <c r="B56" s="75"/>
      <c r="C56" s="8"/>
      <c r="D56" s="296">
        <f>COUNTIF(L11:M47,"ERROR")</f>
        <v>3</v>
      </c>
    </row>
    <row r="57" spans="1:10">
      <c r="A57" s="373"/>
      <c r="B57" s="9"/>
      <c r="C57" s="7"/>
      <c r="D57" s="6"/>
    </row>
  </sheetData>
  <sheetProtection sheet="1" objects="1" scenarios="1"/>
  <mergeCells count="36">
    <mergeCell ref="B26:G26"/>
    <mergeCell ref="B34:G34"/>
    <mergeCell ref="B36:G36"/>
    <mergeCell ref="B27:G27"/>
    <mergeCell ref="B12:G12"/>
    <mergeCell ref="B17:G17"/>
    <mergeCell ref="B20:G20"/>
    <mergeCell ref="B28:G28"/>
    <mergeCell ref="B48:G48"/>
    <mergeCell ref="B18:G18"/>
    <mergeCell ref="B19:G19"/>
    <mergeCell ref="B29:G29"/>
    <mergeCell ref="B13:G13"/>
    <mergeCell ref="B14:G14"/>
    <mergeCell ref="B15:G15"/>
    <mergeCell ref="B16:G16"/>
    <mergeCell ref="B42:G42"/>
    <mergeCell ref="B45:G45"/>
    <mergeCell ref="B22:G22"/>
    <mergeCell ref="B23:G23"/>
    <mergeCell ref="B41:G41"/>
    <mergeCell ref="B30:G30"/>
    <mergeCell ref="B31:G31"/>
    <mergeCell ref="B32:G32"/>
    <mergeCell ref="B4:G4"/>
    <mergeCell ref="B5:G5"/>
    <mergeCell ref="B6:G6"/>
    <mergeCell ref="B24:G24"/>
    <mergeCell ref="B25:G25"/>
    <mergeCell ref="B11:G11"/>
    <mergeCell ref="B40:G40"/>
    <mergeCell ref="B39:G39"/>
    <mergeCell ref="B37:G37"/>
    <mergeCell ref="B38:G38"/>
    <mergeCell ref="B33:G33"/>
    <mergeCell ref="B35:G35"/>
  </mergeCells>
  <dataValidations count="1">
    <dataValidation type="decimal" operator="notEqual" allowBlank="1" showInputMessage="1" showErrorMessage="1" errorTitle="Zahl" error="Hier ist nur ein Zahlenwert erlaubt" sqref="G49 H18:H19 H14:H16 H48:H49">
      <formula1>9.99999999999999</formula1>
    </dataValidation>
  </dataValidations>
  <printOptions gridLinesSet="0"/>
  <pageMargins left="0.59055118110236227" right="0.59055118110236227" top="0.78740157480314965" bottom="0.39370078740157483" header="0.31496062992125984" footer="0.31496062992125984"/>
  <pageSetup paperSize="9" scale="55" fitToHeight="3" pageOrder="overThenDown" orientation="portrait" r:id="rId1"/>
  <headerFooter alignWithMargins="0">
    <oddFooter>&amp;L&amp;"Arial,Fett"SNB Confidential&amp;C&amp;D&amp;RPage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179"/>
  <sheetViews>
    <sheetView showGridLines="0" showRowColHeaders="0" showZeros="0" zoomScale="80" zoomScaleNormal="80" workbookViewId="0">
      <pane ySplit="10" topLeftCell="A11" activePane="bottomLeft" state="frozen"/>
      <selection activeCell="D63" sqref="D63"/>
      <selection pane="bottomLeft" activeCell="K18" sqref="K18"/>
    </sheetView>
  </sheetViews>
  <sheetFormatPr baseColWidth="10" defaultColWidth="13.28515625" defaultRowHeight="12.75"/>
  <cols>
    <col min="1" max="1" width="6" style="183" customWidth="1"/>
    <col min="2" max="2" width="32.5703125" style="183" customWidth="1"/>
    <col min="3" max="3" width="13.28515625" style="183" customWidth="1"/>
    <col min="4" max="4" width="14.42578125" style="183" customWidth="1"/>
    <col min="5" max="5" width="10.85546875" style="183" customWidth="1"/>
    <col min="6" max="6" width="9" style="183" customWidth="1"/>
    <col min="7" max="7" width="10.28515625" style="183" customWidth="1"/>
    <col min="8" max="8" width="1.85546875" style="183" customWidth="1"/>
    <col min="9" max="9" width="15.140625" style="183" customWidth="1"/>
    <col min="10" max="10" width="14.7109375" style="183" customWidth="1"/>
    <col min="11" max="11" width="18.42578125" style="183" customWidth="1"/>
    <col min="12" max="12" width="4.5703125" style="183" customWidth="1"/>
    <col min="13" max="13" width="9.140625" style="183" customWidth="1"/>
    <col min="14" max="14" width="26.140625" style="183" customWidth="1"/>
    <col min="15" max="16384" width="13.28515625" style="183"/>
  </cols>
  <sheetData>
    <row r="1" spans="1:14" ht="20.25" customHeight="1">
      <c r="E1" s="188" t="s">
        <v>163</v>
      </c>
      <c r="J1" s="189" t="s">
        <v>61</v>
      </c>
      <c r="K1" s="300" t="s">
        <v>610</v>
      </c>
    </row>
    <row r="2" spans="1:14" ht="20.25" customHeight="1">
      <c r="A2" s="48"/>
      <c r="B2" s="48"/>
      <c r="E2" s="669" t="s">
        <v>620</v>
      </c>
      <c r="F2" s="669"/>
      <c r="G2" s="669"/>
      <c r="H2" s="669"/>
      <c r="I2" s="669"/>
      <c r="J2" s="126" t="s">
        <v>1224</v>
      </c>
      <c r="K2" s="301" t="str">
        <f>'Delivery note'!H3</f>
        <v>XXXXXX</v>
      </c>
    </row>
    <row r="3" spans="1:14" ht="20.25" customHeight="1">
      <c r="E3" s="144" t="s">
        <v>601</v>
      </c>
      <c r="J3" s="189" t="s">
        <v>546</v>
      </c>
      <c r="K3" s="302" t="str">
        <f>'Delivery note'!H4</f>
        <v>DD.MM.YYYY</v>
      </c>
    </row>
    <row r="4" spans="1:14" ht="14.25">
      <c r="A4" s="48"/>
      <c r="C4" s="60"/>
      <c r="E4" s="4" t="s">
        <v>6</v>
      </c>
    </row>
    <row r="5" spans="1:14" ht="15">
      <c r="A5" s="48"/>
      <c r="C5" s="24"/>
    </row>
    <row r="6" spans="1:14" ht="6.75" customHeight="1">
      <c r="G6" s="190"/>
      <c r="H6" s="190"/>
      <c r="I6" s="190"/>
      <c r="J6" s="190"/>
      <c r="K6" s="190"/>
    </row>
    <row r="7" spans="1:14" ht="6.75" customHeight="1">
      <c r="G7" s="190"/>
      <c r="H7" s="190"/>
      <c r="I7" s="190"/>
      <c r="J7" s="190"/>
    </row>
    <row r="8" spans="1:14" ht="12.75" customHeight="1">
      <c r="B8" s="129"/>
      <c r="C8" s="130"/>
      <c r="L8" s="128"/>
    </row>
    <row r="9" spans="1:14" ht="24.75" customHeight="1">
      <c r="A9" s="191"/>
      <c r="B9" s="191"/>
      <c r="C9" s="131"/>
      <c r="D9" s="191"/>
      <c r="E9" s="191"/>
      <c r="F9" s="191"/>
      <c r="G9" s="191"/>
      <c r="H9" s="191"/>
      <c r="I9" s="192" t="s">
        <v>164</v>
      </c>
      <c r="J9" s="193" t="s">
        <v>165</v>
      </c>
      <c r="K9" s="192" t="s">
        <v>166</v>
      </c>
      <c r="L9" s="151"/>
      <c r="N9" s="48" t="s">
        <v>167</v>
      </c>
    </row>
    <row r="10" spans="1:14" ht="15" customHeight="1">
      <c r="A10" s="128"/>
      <c r="B10" s="128"/>
      <c r="C10" s="128"/>
      <c r="D10" s="128"/>
      <c r="E10" s="128"/>
      <c r="F10" s="128"/>
      <c r="G10" s="194"/>
      <c r="H10" s="194"/>
      <c r="I10" s="127" t="s">
        <v>95</v>
      </c>
      <c r="J10" s="127" t="s">
        <v>96</v>
      </c>
      <c r="K10" s="127" t="s">
        <v>97</v>
      </c>
      <c r="L10" s="153"/>
      <c r="N10" s="115" t="str">
        <f>IF(MIN(I18:K58,I71:K155,K160)&lt;0,"ERROR","OK")</f>
        <v>OK</v>
      </c>
    </row>
    <row r="11" spans="1:14" ht="9.9499999999999993" customHeight="1">
      <c r="A11" s="48"/>
      <c r="G11" s="191"/>
      <c r="H11" s="48"/>
      <c r="I11" s="143"/>
      <c r="J11" s="143"/>
      <c r="K11" s="143"/>
      <c r="L11" s="114"/>
    </row>
    <row r="12" spans="1:14" ht="12.95" customHeight="1">
      <c r="A12" s="195"/>
      <c r="B12" s="196" t="s">
        <v>168</v>
      </c>
      <c r="G12" s="48"/>
      <c r="H12" s="48"/>
      <c r="I12" s="143"/>
      <c r="J12" s="143"/>
      <c r="K12" s="143"/>
      <c r="L12" s="114"/>
    </row>
    <row r="13" spans="1:14" ht="12.95" customHeight="1">
      <c r="A13" s="195"/>
      <c r="B13" s="6" t="s">
        <v>526</v>
      </c>
      <c r="C13" s="48"/>
      <c r="D13" s="48"/>
      <c r="E13" s="48"/>
      <c r="F13" s="48"/>
      <c r="G13" s="48"/>
      <c r="H13" s="48"/>
      <c r="I13" s="143"/>
      <c r="J13" s="143"/>
      <c r="K13" s="143"/>
      <c r="L13" s="114"/>
    </row>
    <row r="14" spans="1:14" ht="12.95" customHeight="1">
      <c r="A14" s="195"/>
      <c r="C14" s="48"/>
      <c r="D14" s="48"/>
      <c r="E14" s="48"/>
      <c r="F14" s="48"/>
      <c r="G14" s="48"/>
      <c r="H14" s="48"/>
      <c r="I14" s="143"/>
      <c r="J14" s="143"/>
      <c r="K14" s="143"/>
      <c r="L14" s="114"/>
    </row>
    <row r="15" spans="1:14" ht="9.9499999999999993" customHeight="1">
      <c r="A15" s="195"/>
      <c r="B15" s="136"/>
      <c r="G15" s="48"/>
      <c r="H15" s="48"/>
      <c r="I15" s="143"/>
      <c r="J15" s="143"/>
      <c r="K15" s="143"/>
      <c r="L15" s="114"/>
    </row>
    <row r="16" spans="1:14" ht="12.95" customHeight="1">
      <c r="A16" s="197"/>
      <c r="B16" s="61"/>
      <c r="C16" s="48"/>
      <c r="D16" s="48"/>
      <c r="E16" s="48"/>
      <c r="F16" s="48"/>
      <c r="G16" s="48"/>
      <c r="H16" s="48"/>
      <c r="I16" s="143"/>
      <c r="J16" s="143"/>
      <c r="K16" s="143"/>
      <c r="L16" s="114"/>
    </row>
    <row r="17" spans="1:13" ht="12.95" customHeight="1">
      <c r="A17" s="198"/>
      <c r="B17" s="199" t="s">
        <v>169</v>
      </c>
      <c r="C17" s="48"/>
      <c r="D17" s="48"/>
      <c r="E17" s="48"/>
      <c r="F17" s="48"/>
      <c r="G17" s="48"/>
      <c r="H17" s="48"/>
      <c r="I17" s="143"/>
      <c r="J17" s="143"/>
      <c r="K17" s="143"/>
      <c r="L17" s="114"/>
    </row>
    <row r="18" spans="1:13" ht="17.100000000000001" customHeight="1">
      <c r="A18" s="198"/>
      <c r="B18" s="200" t="s">
        <v>170</v>
      </c>
      <c r="C18" s="201"/>
      <c r="D18" s="201"/>
      <c r="E18" s="201"/>
      <c r="F18" s="201"/>
      <c r="G18" s="201"/>
      <c r="H18" s="48"/>
      <c r="I18" s="243"/>
      <c r="J18" s="202"/>
      <c r="K18" s="14"/>
      <c r="L18" s="114">
        <v>1</v>
      </c>
    </row>
    <row r="19" spans="1:13" ht="16.5" customHeight="1">
      <c r="A19" s="198"/>
      <c r="B19" s="200" t="s">
        <v>171</v>
      </c>
      <c r="C19" s="201"/>
      <c r="D19" s="201"/>
      <c r="E19" s="201"/>
      <c r="F19" s="201"/>
      <c r="G19" s="201"/>
      <c r="H19" s="48"/>
      <c r="I19" s="243"/>
      <c r="J19" s="202"/>
      <c r="K19" s="14"/>
      <c r="L19" s="114">
        <v>2</v>
      </c>
    </row>
    <row r="20" spans="1:13" ht="16.5" customHeight="1">
      <c r="A20" s="198"/>
      <c r="B20" s="200" t="s">
        <v>172</v>
      </c>
      <c r="C20" s="201"/>
      <c r="D20" s="201"/>
      <c r="E20" s="201"/>
      <c r="F20" s="201"/>
      <c r="G20" s="201"/>
      <c r="H20" s="48"/>
      <c r="I20" s="243"/>
      <c r="J20" s="202"/>
      <c r="K20" s="14"/>
      <c r="L20" s="114">
        <v>89</v>
      </c>
    </row>
    <row r="21" spans="1:13" ht="16.5" customHeight="1">
      <c r="A21" s="198"/>
      <c r="B21" s="200" t="s">
        <v>173</v>
      </c>
      <c r="C21" s="201"/>
      <c r="D21" s="201"/>
      <c r="E21" s="201"/>
      <c r="F21" s="201"/>
      <c r="G21" s="201"/>
      <c r="H21" s="48"/>
      <c r="I21" s="243"/>
      <c r="J21" s="202"/>
      <c r="K21" s="14"/>
      <c r="L21" s="114">
        <v>90</v>
      </c>
    </row>
    <row r="22" spans="1:13" ht="16.5" customHeight="1" thickBot="1">
      <c r="A22" s="198"/>
      <c r="B22" s="200" t="s">
        <v>174</v>
      </c>
      <c r="C22" s="201"/>
      <c r="D22" s="201"/>
      <c r="E22" s="201"/>
      <c r="F22" s="201"/>
      <c r="G22" s="201"/>
      <c r="H22" s="48"/>
      <c r="I22" s="243">
        <f>I18+I19+I20+I21</f>
        <v>0</v>
      </c>
      <c r="J22" s="202"/>
      <c r="K22" s="27">
        <f>K18+K19+K20+K21</f>
        <v>0</v>
      </c>
      <c r="L22" s="114">
        <v>5</v>
      </c>
      <c r="M22" s="203"/>
    </row>
    <row r="23" spans="1:13" ht="11.1" customHeight="1" thickTop="1">
      <c r="A23" s="204"/>
      <c r="B23" s="160"/>
      <c r="C23" s="48"/>
      <c r="D23" s="48"/>
      <c r="E23" s="48"/>
      <c r="F23" s="48"/>
      <c r="G23" s="48"/>
      <c r="H23" s="48"/>
      <c r="I23" s="143"/>
      <c r="J23" s="143"/>
      <c r="K23" s="143"/>
      <c r="L23" s="114"/>
    </row>
    <row r="24" spans="1:13" ht="17.100000000000001" customHeight="1">
      <c r="A24" s="198"/>
      <c r="B24" s="199" t="s">
        <v>175</v>
      </c>
      <c r="C24" s="48"/>
      <c r="D24" s="48"/>
      <c r="E24" s="48"/>
      <c r="F24" s="48"/>
      <c r="G24" s="48"/>
      <c r="H24" s="48"/>
      <c r="I24" s="143"/>
      <c r="J24" s="143"/>
      <c r="K24" s="143"/>
      <c r="L24" s="114"/>
    </row>
    <row r="25" spans="1:13">
      <c r="A25" s="198"/>
      <c r="B25" s="205" t="s">
        <v>176</v>
      </c>
      <c r="C25" s="48"/>
      <c r="D25" s="48"/>
      <c r="E25" s="48"/>
      <c r="F25" s="48"/>
      <c r="G25" s="48"/>
      <c r="H25" s="48"/>
      <c r="I25" s="143"/>
      <c r="J25" s="143"/>
      <c r="K25" s="143"/>
      <c r="L25" s="114"/>
    </row>
    <row r="26" spans="1:13">
      <c r="A26" s="198"/>
      <c r="B26" s="205" t="s">
        <v>177</v>
      </c>
      <c r="C26" s="48"/>
      <c r="D26" s="48"/>
      <c r="E26" s="48"/>
      <c r="F26" s="48"/>
      <c r="G26" s="48"/>
      <c r="H26" s="48"/>
      <c r="I26" s="143"/>
      <c r="J26" s="143"/>
      <c r="K26" s="143"/>
      <c r="L26" s="114"/>
    </row>
    <row r="27" spans="1:13">
      <c r="A27" s="198"/>
      <c r="B27" s="205" t="s">
        <v>178</v>
      </c>
      <c r="C27" s="48"/>
      <c r="D27" s="48"/>
      <c r="E27" s="48"/>
      <c r="F27" s="48"/>
      <c r="G27" s="48"/>
      <c r="H27" s="48"/>
      <c r="I27" s="143"/>
      <c r="J27" s="143"/>
      <c r="K27" s="143"/>
      <c r="L27" s="114"/>
    </row>
    <row r="28" spans="1:13">
      <c r="A28" s="198"/>
      <c r="C28" s="48"/>
      <c r="D28" s="48"/>
      <c r="E28" s="48"/>
      <c r="F28" s="48"/>
      <c r="G28" s="48"/>
      <c r="H28" s="48"/>
      <c r="I28" s="143"/>
      <c r="J28" s="143"/>
      <c r="K28" s="143"/>
      <c r="L28" s="114"/>
    </row>
    <row r="29" spans="1:13" ht="25.5" customHeight="1">
      <c r="A29" s="198"/>
      <c r="B29" s="200" t="s">
        <v>179</v>
      </c>
      <c r="C29" s="201"/>
      <c r="D29" s="201"/>
      <c r="E29" s="201"/>
      <c r="F29" s="201"/>
      <c r="G29" s="201"/>
      <c r="H29" s="48"/>
      <c r="I29" s="14"/>
      <c r="J29" s="13"/>
      <c r="K29" s="13"/>
      <c r="L29" s="114">
        <v>6</v>
      </c>
    </row>
    <row r="30" spans="1:13" ht="30" customHeight="1">
      <c r="A30" s="204"/>
      <c r="B30" s="675" t="s">
        <v>253</v>
      </c>
      <c r="C30" s="675"/>
      <c r="D30" s="675"/>
      <c r="E30" s="675"/>
      <c r="F30" s="675"/>
      <c r="G30" s="675"/>
      <c r="H30" s="48"/>
      <c r="I30" s="14"/>
      <c r="J30" s="26"/>
      <c r="K30" s="13"/>
      <c r="L30" s="114">
        <v>7</v>
      </c>
    </row>
    <row r="31" spans="1:13" ht="16.5" customHeight="1" thickBot="1">
      <c r="A31" s="206"/>
      <c r="B31" s="140" t="s">
        <v>180</v>
      </c>
      <c r="C31" s="207"/>
      <c r="D31" s="207"/>
      <c r="E31" s="207"/>
      <c r="F31" s="207"/>
      <c r="G31" s="207"/>
      <c r="H31" s="48"/>
      <c r="I31" s="27">
        <f>I29+I30</f>
        <v>0</v>
      </c>
      <c r="J31" s="26"/>
      <c r="K31" s="13"/>
      <c r="L31" s="114">
        <v>8</v>
      </c>
    </row>
    <row r="32" spans="1:13" ht="16.5" customHeight="1" thickTop="1">
      <c r="A32" s="206"/>
      <c r="B32" s="140" t="s">
        <v>527</v>
      </c>
      <c r="C32" s="207"/>
      <c r="D32" s="207"/>
      <c r="E32" s="207"/>
      <c r="F32" s="207"/>
      <c r="G32" s="207"/>
      <c r="H32" s="48"/>
      <c r="I32" s="14"/>
      <c r="J32" s="26"/>
      <c r="K32" s="13"/>
      <c r="L32" s="114">
        <v>9</v>
      </c>
    </row>
    <row r="33" spans="1:13" ht="16.5" customHeight="1" thickBot="1">
      <c r="A33" s="198"/>
      <c r="B33" s="140" t="s">
        <v>181</v>
      </c>
      <c r="C33" s="207"/>
      <c r="D33" s="207"/>
      <c r="E33" s="207"/>
      <c r="F33" s="207"/>
      <c r="G33" s="207"/>
      <c r="H33" s="48"/>
      <c r="I33" s="308" t="str">
        <f>IF(OR(I31="",I31=0),"",1/I31*I32)</f>
        <v/>
      </c>
      <c r="J33" s="26"/>
      <c r="K33" s="13"/>
      <c r="L33" s="114">
        <v>10</v>
      </c>
    </row>
    <row r="34" spans="1:13" ht="17.100000000000001" customHeight="1" thickTop="1">
      <c r="A34" s="206"/>
      <c r="B34" s="137"/>
      <c r="C34" s="48"/>
      <c r="D34" s="48"/>
      <c r="E34" s="48"/>
      <c r="F34" s="48"/>
      <c r="G34" s="48"/>
      <c r="H34" s="48"/>
      <c r="I34" s="143"/>
      <c r="J34" s="143"/>
      <c r="K34" s="143"/>
      <c r="L34" s="114"/>
      <c r="M34" s="203"/>
    </row>
    <row r="35" spans="1:13" ht="16.5" customHeight="1">
      <c r="A35" s="198"/>
      <c r="B35" s="199" t="s">
        <v>182</v>
      </c>
      <c r="C35" s="48"/>
      <c r="D35" s="48"/>
      <c r="E35" s="48"/>
      <c r="F35" s="48"/>
      <c r="G35" s="48"/>
      <c r="H35" s="48"/>
      <c r="I35" s="143"/>
      <c r="J35" s="143"/>
      <c r="K35" s="143"/>
      <c r="L35" s="114"/>
    </row>
    <row r="36" spans="1:13">
      <c r="A36" s="206"/>
      <c r="B36" s="6" t="s">
        <v>183</v>
      </c>
      <c r="C36" s="48"/>
      <c r="D36" s="48"/>
      <c r="E36" s="48"/>
      <c r="F36" s="48"/>
      <c r="G36" s="48"/>
      <c r="H36" s="48"/>
      <c r="I36" s="143"/>
      <c r="J36" s="143"/>
      <c r="K36" s="143"/>
      <c r="L36" s="114"/>
    </row>
    <row r="37" spans="1:13" ht="11.1" customHeight="1">
      <c r="A37" s="198"/>
      <c r="B37" s="137"/>
      <c r="C37" s="48"/>
      <c r="D37" s="48"/>
      <c r="E37" s="48"/>
      <c r="F37" s="48"/>
      <c r="G37" s="48"/>
      <c r="H37" s="48"/>
      <c r="I37" s="143"/>
      <c r="J37" s="143"/>
      <c r="K37" s="143"/>
      <c r="L37" s="114"/>
    </row>
    <row r="38" spans="1:13" ht="18" customHeight="1">
      <c r="A38" s="198"/>
      <c r="B38" s="61" t="s">
        <v>184</v>
      </c>
      <c r="C38" s="48"/>
      <c r="D38" s="48"/>
      <c r="E38" s="48"/>
      <c r="F38" s="48"/>
      <c r="G38" s="48"/>
      <c r="H38" s="48"/>
      <c r="I38" s="143"/>
      <c r="J38" s="143"/>
      <c r="K38" s="143"/>
      <c r="L38" s="114"/>
    </row>
    <row r="39" spans="1:13" ht="16.5" customHeight="1">
      <c r="A39" s="198"/>
      <c r="B39" s="208" t="s">
        <v>185</v>
      </c>
      <c r="C39" s="48"/>
      <c r="D39" s="48"/>
      <c r="E39" s="48"/>
      <c r="F39" s="48"/>
      <c r="G39" s="48"/>
      <c r="H39" s="48"/>
      <c r="I39" s="143"/>
      <c r="J39" s="143"/>
      <c r="K39" s="143"/>
      <c r="L39" s="114"/>
    </row>
    <row r="40" spans="1:13" ht="16.5" customHeight="1">
      <c r="A40" s="198"/>
      <c r="B40" s="200" t="s">
        <v>186</v>
      </c>
      <c r="C40" s="200"/>
      <c r="D40" s="200"/>
      <c r="E40" s="201"/>
      <c r="F40" s="201"/>
      <c r="G40" s="201"/>
      <c r="H40" s="48"/>
      <c r="I40" s="14"/>
      <c r="J40" s="209" t="s">
        <v>187</v>
      </c>
      <c r="K40" s="13"/>
      <c r="L40" s="114">
        <v>11</v>
      </c>
    </row>
    <row r="41" spans="1:13" ht="16.5" customHeight="1" thickBot="1">
      <c r="A41" s="206"/>
      <c r="B41" s="6" t="s">
        <v>188</v>
      </c>
      <c r="C41" s="140" t="s">
        <v>189</v>
      </c>
      <c r="D41" s="140"/>
      <c r="E41" s="207"/>
      <c r="F41" s="207"/>
      <c r="G41" s="207"/>
      <c r="H41" s="48"/>
      <c r="I41" s="14"/>
      <c r="J41" s="210">
        <v>2.5000000000000001E-3</v>
      </c>
      <c r="K41" s="27">
        <f t="shared" ref="K41:K46" si="0">I41*J41</f>
        <v>0</v>
      </c>
      <c r="L41" s="114">
        <v>12</v>
      </c>
      <c r="M41" s="203"/>
    </row>
    <row r="42" spans="1:13" ht="16.5" customHeight="1" thickTop="1" thickBot="1">
      <c r="A42" s="198"/>
      <c r="B42" s="6"/>
      <c r="C42" s="140" t="s">
        <v>190</v>
      </c>
      <c r="D42" s="140"/>
      <c r="E42" s="207"/>
      <c r="F42" s="207"/>
      <c r="G42" s="207"/>
      <c r="H42" s="48"/>
      <c r="I42" s="14"/>
      <c r="J42" s="202">
        <v>0.01</v>
      </c>
      <c r="K42" s="27">
        <f t="shared" si="0"/>
        <v>0</v>
      </c>
      <c r="L42" s="114">
        <v>13</v>
      </c>
    </row>
    <row r="43" spans="1:13" ht="16.5" customHeight="1" thickTop="1" thickBot="1">
      <c r="A43" s="206"/>
      <c r="B43" s="6"/>
      <c r="C43" s="140" t="s">
        <v>191</v>
      </c>
      <c r="D43" s="140"/>
      <c r="E43" s="207"/>
      <c r="F43" s="207"/>
      <c r="G43" s="207"/>
      <c r="H43" s="48"/>
      <c r="I43" s="14"/>
      <c r="J43" s="202">
        <v>1.6E-2</v>
      </c>
      <c r="K43" s="27">
        <f t="shared" si="0"/>
        <v>0</v>
      </c>
      <c r="L43" s="114">
        <v>14</v>
      </c>
    </row>
    <row r="44" spans="1:13" ht="16.5" customHeight="1" thickTop="1" thickBot="1">
      <c r="A44" s="198"/>
      <c r="B44" s="140" t="s">
        <v>192</v>
      </c>
      <c r="C44" s="140"/>
      <c r="D44" s="140"/>
      <c r="E44" s="207"/>
      <c r="F44" s="207"/>
      <c r="G44" s="207"/>
      <c r="H44" s="48"/>
      <c r="I44" s="14"/>
      <c r="J44" s="202">
        <v>0.08</v>
      </c>
      <c r="K44" s="27">
        <f t="shared" si="0"/>
        <v>0</v>
      </c>
      <c r="L44" s="114">
        <v>15</v>
      </c>
    </row>
    <row r="45" spans="1:13" ht="16.5" customHeight="1" thickTop="1" thickBot="1">
      <c r="A45" s="206"/>
      <c r="B45" s="140" t="s">
        <v>193</v>
      </c>
      <c r="C45" s="140"/>
      <c r="D45" s="140"/>
      <c r="E45" s="207"/>
      <c r="F45" s="207"/>
      <c r="G45" s="207"/>
      <c r="H45" s="48"/>
      <c r="I45" s="14"/>
      <c r="J45" s="202">
        <v>0.12</v>
      </c>
      <c r="K45" s="27">
        <f t="shared" si="0"/>
        <v>0</v>
      </c>
      <c r="L45" s="114">
        <v>16</v>
      </c>
    </row>
    <row r="46" spans="1:13" ht="16.5" customHeight="1" thickTop="1" thickBot="1">
      <c r="A46" s="198"/>
      <c r="B46" s="140" t="s">
        <v>194</v>
      </c>
      <c r="C46" s="140"/>
      <c r="D46" s="140"/>
      <c r="E46" s="207"/>
      <c r="F46" s="207"/>
      <c r="G46" s="207"/>
      <c r="H46" s="48"/>
      <c r="I46" s="14"/>
      <c r="J46" s="202">
        <v>0.08</v>
      </c>
      <c r="K46" s="27">
        <f t="shared" si="0"/>
        <v>0</v>
      </c>
      <c r="L46" s="114">
        <v>17</v>
      </c>
      <c r="M46" s="211"/>
    </row>
    <row r="47" spans="1:13" ht="11.1" customHeight="1" thickTop="1">
      <c r="A47" s="198"/>
      <c r="B47" s="137"/>
      <c r="C47" s="48"/>
      <c r="D47" s="48"/>
      <c r="E47" s="48"/>
      <c r="F47" s="48"/>
      <c r="G47" s="48"/>
      <c r="H47" s="48"/>
      <c r="I47" s="143"/>
      <c r="J47" s="143"/>
      <c r="K47" s="143"/>
      <c r="L47" s="114"/>
      <c r="M47" s="211"/>
    </row>
    <row r="48" spans="1:13" ht="17.100000000000001" customHeight="1">
      <c r="A48" s="198"/>
      <c r="B48" s="6" t="s">
        <v>528</v>
      </c>
      <c r="C48" s="48"/>
      <c r="D48" s="48"/>
      <c r="E48" s="48"/>
      <c r="F48" s="48"/>
      <c r="G48" s="48"/>
      <c r="H48" s="48"/>
      <c r="I48" s="143"/>
      <c r="J48" s="143"/>
      <c r="K48" s="143"/>
      <c r="L48" s="114"/>
      <c r="M48" s="211"/>
    </row>
    <row r="49" spans="1:13" ht="11.25" customHeight="1">
      <c r="A49" s="198"/>
      <c r="B49" s="137"/>
      <c r="C49" s="48"/>
      <c r="D49" s="48"/>
      <c r="E49" s="48"/>
      <c r="F49" s="48"/>
      <c r="G49" s="48"/>
      <c r="H49" s="48"/>
      <c r="I49" s="143"/>
      <c r="J49" s="143"/>
      <c r="K49" s="143"/>
      <c r="L49" s="114"/>
    </row>
    <row r="50" spans="1:13" ht="16.5" customHeight="1" thickBot="1">
      <c r="A50" s="198"/>
      <c r="B50" s="200" t="s">
        <v>189</v>
      </c>
      <c r="C50" s="201"/>
      <c r="D50" s="201"/>
      <c r="E50" s="201"/>
      <c r="F50" s="201"/>
      <c r="G50" s="201"/>
      <c r="H50" s="48"/>
      <c r="I50" s="14"/>
      <c r="J50" s="210">
        <v>2.5000000000000001E-3</v>
      </c>
      <c r="K50" s="27">
        <f>I50*J50</f>
        <v>0</v>
      </c>
      <c r="L50" s="114">
        <v>18</v>
      </c>
    </row>
    <row r="51" spans="1:13" ht="16.5" customHeight="1" thickTop="1" thickBot="1">
      <c r="A51" s="198"/>
      <c r="B51" s="200" t="s">
        <v>190</v>
      </c>
      <c r="C51" s="201"/>
      <c r="D51" s="201"/>
      <c r="E51" s="201"/>
      <c r="F51" s="201"/>
      <c r="G51" s="201"/>
      <c r="H51" s="48"/>
      <c r="I51" s="14"/>
      <c r="J51" s="202">
        <v>0.01</v>
      </c>
      <c r="K51" s="27">
        <f>I51*J51</f>
        <v>0</v>
      </c>
      <c r="L51" s="114">
        <v>19</v>
      </c>
      <c r="M51" s="203"/>
    </row>
    <row r="52" spans="1:13" ht="16.5" customHeight="1" thickTop="1" thickBot="1">
      <c r="A52" s="198"/>
      <c r="B52" s="200" t="s">
        <v>191</v>
      </c>
      <c r="C52" s="201"/>
      <c r="D52" s="201"/>
      <c r="E52" s="201"/>
      <c r="F52" s="201"/>
      <c r="G52" s="201"/>
      <c r="H52" s="48"/>
      <c r="I52" s="14"/>
      <c r="J52" s="202">
        <v>1.6E-2</v>
      </c>
      <c r="K52" s="27">
        <f>I52*J52</f>
        <v>0</v>
      </c>
      <c r="L52" s="114">
        <v>20</v>
      </c>
      <c r="M52" s="203"/>
    </row>
    <row r="53" spans="1:13" ht="17.100000000000001" customHeight="1" thickTop="1">
      <c r="A53" s="198"/>
      <c r="H53" s="48"/>
      <c r="I53" s="143"/>
      <c r="J53" s="143"/>
      <c r="K53" s="143"/>
      <c r="L53" s="114"/>
      <c r="M53" s="203"/>
    </row>
    <row r="54" spans="1:13" ht="16.5" customHeight="1">
      <c r="A54" s="198"/>
      <c r="B54" s="4" t="s">
        <v>195</v>
      </c>
      <c r="H54" s="48"/>
      <c r="I54" s="143"/>
      <c r="J54" s="143"/>
      <c r="K54" s="143"/>
      <c r="L54" s="114"/>
    </row>
    <row r="55" spans="1:13" ht="16.5" customHeight="1" thickBot="1">
      <c r="A55" s="206"/>
      <c r="B55" s="200" t="s">
        <v>196</v>
      </c>
      <c r="C55" s="201"/>
      <c r="D55" s="201"/>
      <c r="E55" s="201"/>
      <c r="F55" s="201"/>
      <c r="G55" s="201"/>
      <c r="H55" s="48"/>
      <c r="I55" s="14"/>
      <c r="J55" s="202">
        <v>0.08</v>
      </c>
      <c r="K55" s="27">
        <f>I55*J55</f>
        <v>0</v>
      </c>
      <c r="L55" s="114">
        <v>21</v>
      </c>
    </row>
    <row r="56" spans="1:13" ht="16.5" customHeight="1" thickTop="1" thickBot="1">
      <c r="A56" s="198"/>
      <c r="B56" s="200" t="s">
        <v>197</v>
      </c>
      <c r="C56" s="201"/>
      <c r="D56" s="201"/>
      <c r="E56" s="201"/>
      <c r="F56" s="201"/>
      <c r="G56" s="201"/>
      <c r="H56" s="48"/>
      <c r="I56" s="14"/>
      <c r="J56" s="202">
        <v>0.12</v>
      </c>
      <c r="K56" s="27">
        <f>I56*J56</f>
        <v>0</v>
      </c>
      <c r="L56" s="114">
        <v>22</v>
      </c>
    </row>
    <row r="57" spans="1:13" ht="16.5" customHeight="1" thickTop="1" thickBot="1">
      <c r="A57" s="206"/>
      <c r="B57" s="200" t="s">
        <v>194</v>
      </c>
      <c r="C57" s="201"/>
      <c r="D57" s="201"/>
      <c r="E57" s="201"/>
      <c r="F57" s="201"/>
      <c r="G57" s="201"/>
      <c r="H57" s="48"/>
      <c r="I57" s="14"/>
      <c r="J57" s="202">
        <v>0.08</v>
      </c>
      <c r="K57" s="27">
        <f>I57*J57</f>
        <v>0</v>
      </c>
      <c r="L57" s="114">
        <v>23</v>
      </c>
    </row>
    <row r="58" spans="1:13" ht="16.5" customHeight="1" thickTop="1" thickBot="1">
      <c r="A58" s="198"/>
      <c r="B58" s="200" t="s">
        <v>174</v>
      </c>
      <c r="C58" s="201"/>
      <c r="D58" s="201"/>
      <c r="E58" s="201"/>
      <c r="F58" s="201"/>
      <c r="G58" s="201"/>
      <c r="H58" s="48"/>
      <c r="I58" s="27">
        <f>I40+I41+I42+I43+I44+I45+I46+I50+I51+I52+I55+I56+I57</f>
        <v>0</v>
      </c>
      <c r="J58" s="210"/>
      <c r="K58" s="244">
        <f>K41+K42+K43+K44+K45+K46+K50+K51+K52+K55+K56+K57</f>
        <v>0</v>
      </c>
      <c r="L58" s="114">
        <v>24</v>
      </c>
    </row>
    <row r="59" spans="1:13" ht="9.9499999999999993" customHeight="1" thickTop="1">
      <c r="A59" s="198"/>
      <c r="H59" s="48"/>
      <c r="I59" s="143"/>
      <c r="J59" s="143"/>
      <c r="K59" s="143"/>
      <c r="L59" s="114"/>
    </row>
    <row r="60" spans="1:13" ht="17.25" customHeight="1">
      <c r="A60" s="212"/>
      <c r="B60" s="213" t="s">
        <v>198</v>
      </c>
      <c r="C60" s="214"/>
      <c r="D60" s="215"/>
      <c r="E60" s="215"/>
      <c r="F60" s="215"/>
      <c r="G60" s="215"/>
      <c r="H60" s="215"/>
      <c r="I60" s="182"/>
      <c r="J60" s="216"/>
      <c r="K60" s="182"/>
      <c r="L60" s="114"/>
    </row>
    <row r="61" spans="1:13" ht="17.25" customHeight="1" thickBot="1">
      <c r="A61" s="212"/>
      <c r="B61" s="217" t="s">
        <v>199</v>
      </c>
      <c r="C61" s="218"/>
      <c r="D61" s="219"/>
      <c r="E61" s="219"/>
      <c r="F61" s="219"/>
      <c r="G61" s="219"/>
      <c r="H61" s="215"/>
      <c r="I61" s="13"/>
      <c r="J61" s="220"/>
      <c r="K61" s="279">
        <f>SUM(K62:K63)</f>
        <v>0</v>
      </c>
      <c r="L61" s="114">
        <v>80</v>
      </c>
    </row>
    <row r="62" spans="1:13" ht="17.25" customHeight="1" thickTop="1">
      <c r="A62" s="212"/>
      <c r="B62" s="221" t="s">
        <v>200</v>
      </c>
      <c r="C62" s="218"/>
      <c r="D62" s="219"/>
      <c r="E62" s="219"/>
      <c r="F62" s="219"/>
      <c r="G62" s="219"/>
      <c r="H62" s="215"/>
      <c r="I62" s="13"/>
      <c r="J62" s="220"/>
      <c r="K62" s="186"/>
      <c r="L62" s="114">
        <v>91</v>
      </c>
    </row>
    <row r="63" spans="1:13" ht="17.25" customHeight="1">
      <c r="A63" s="212"/>
      <c r="B63" s="221" t="s">
        <v>202</v>
      </c>
      <c r="C63" s="218"/>
      <c r="D63" s="219"/>
      <c r="E63" s="219"/>
      <c r="F63" s="219"/>
      <c r="G63" s="219"/>
      <c r="H63" s="215"/>
      <c r="I63" s="13"/>
      <c r="J63" s="220"/>
      <c r="K63" s="186"/>
      <c r="L63" s="114">
        <v>92</v>
      </c>
    </row>
    <row r="64" spans="1:13" ht="17.25" customHeight="1" thickBot="1">
      <c r="A64" s="212"/>
      <c r="B64" s="217" t="s">
        <v>201</v>
      </c>
      <c r="C64" s="218"/>
      <c r="D64" s="219"/>
      <c r="E64" s="219"/>
      <c r="F64" s="219"/>
      <c r="G64" s="219"/>
      <c r="H64" s="215"/>
      <c r="I64" s="13"/>
      <c r="J64" s="220"/>
      <c r="K64" s="279">
        <f>MAX(K65:K66)</f>
        <v>0</v>
      </c>
      <c r="L64" s="114">
        <v>81</v>
      </c>
    </row>
    <row r="65" spans="1:13" ht="17.25" customHeight="1" thickTop="1">
      <c r="A65" s="212"/>
      <c r="B65" s="221" t="s">
        <v>200</v>
      </c>
      <c r="C65" s="218"/>
      <c r="D65" s="219"/>
      <c r="E65" s="219"/>
      <c r="F65" s="219"/>
      <c r="G65" s="219"/>
      <c r="H65" s="215"/>
      <c r="I65" s="13"/>
      <c r="J65" s="220"/>
      <c r="K65" s="186"/>
      <c r="L65" s="114">
        <v>93</v>
      </c>
    </row>
    <row r="66" spans="1:13" ht="17.25" customHeight="1">
      <c r="A66" s="212"/>
      <c r="B66" s="221" t="s">
        <v>202</v>
      </c>
      <c r="C66" s="218"/>
      <c r="D66" s="219"/>
      <c r="E66" s="219"/>
      <c r="F66" s="219"/>
      <c r="G66" s="219"/>
      <c r="H66" s="215"/>
      <c r="I66" s="13"/>
      <c r="J66" s="220"/>
      <c r="K66" s="186"/>
      <c r="L66" s="114">
        <v>94</v>
      </c>
    </row>
    <row r="67" spans="1:13" ht="17.25" customHeight="1" thickBot="1">
      <c r="A67" s="212"/>
      <c r="B67" s="217" t="s">
        <v>174</v>
      </c>
      <c r="C67" s="218"/>
      <c r="D67" s="219"/>
      <c r="E67" s="219"/>
      <c r="F67" s="219"/>
      <c r="G67" s="219"/>
      <c r="H67" s="215"/>
      <c r="I67" s="13"/>
      <c r="J67" s="220"/>
      <c r="K67" s="222">
        <f>K61+K64</f>
        <v>0</v>
      </c>
      <c r="L67" s="114">
        <v>82</v>
      </c>
    </row>
    <row r="68" spans="1:13" ht="11.25" customHeight="1" thickTop="1">
      <c r="A68" s="212"/>
      <c r="B68" s="208"/>
      <c r="C68" s="214"/>
      <c r="D68" s="215"/>
      <c r="E68" s="215"/>
      <c r="F68" s="215"/>
      <c r="G68" s="215"/>
      <c r="H68" s="215"/>
      <c r="I68" s="143"/>
      <c r="J68" s="223"/>
      <c r="K68" s="224"/>
      <c r="L68" s="114"/>
    </row>
    <row r="69" spans="1:13" ht="24" customHeight="1">
      <c r="A69" s="197"/>
      <c r="B69" s="199" t="s">
        <v>203</v>
      </c>
      <c r="H69" s="48"/>
      <c r="I69" s="143"/>
      <c r="J69" s="143"/>
      <c r="K69" s="143"/>
      <c r="L69" s="114"/>
    </row>
    <row r="70" spans="1:13" ht="14.1" customHeight="1">
      <c r="A70" s="198"/>
      <c r="B70" s="6" t="s">
        <v>183</v>
      </c>
      <c r="H70" s="48"/>
      <c r="I70" s="143"/>
      <c r="J70" s="143"/>
      <c r="K70" s="143"/>
      <c r="L70" s="114"/>
    </row>
    <row r="71" spans="1:13" ht="17.100000000000001" customHeight="1">
      <c r="A71" s="206"/>
      <c r="H71" s="48"/>
      <c r="I71" s="143"/>
      <c r="J71" s="143"/>
      <c r="K71" s="143"/>
      <c r="L71" s="114"/>
    </row>
    <row r="72" spans="1:13" ht="16.5" customHeight="1">
      <c r="A72" s="198"/>
      <c r="B72" s="200" t="s">
        <v>204</v>
      </c>
      <c r="C72" s="201"/>
      <c r="D72" s="201"/>
      <c r="E72" s="201"/>
      <c r="F72" s="201"/>
      <c r="G72" s="201"/>
      <c r="H72" s="48"/>
      <c r="I72" s="13"/>
      <c r="J72" s="202"/>
      <c r="K72" s="14"/>
      <c r="L72" s="114">
        <v>25</v>
      </c>
    </row>
    <row r="73" spans="1:13" ht="16.5" customHeight="1">
      <c r="A73" s="198"/>
      <c r="B73" s="200" t="s">
        <v>205</v>
      </c>
      <c r="C73" s="201"/>
      <c r="D73" s="201"/>
      <c r="E73" s="201"/>
      <c r="F73" s="201"/>
      <c r="G73" s="201"/>
      <c r="H73" s="48"/>
      <c r="I73" s="13"/>
      <c r="J73" s="202"/>
      <c r="K73" s="14"/>
      <c r="L73" s="114">
        <v>26</v>
      </c>
    </row>
    <row r="74" spans="1:13" ht="16.5" customHeight="1" thickBot="1">
      <c r="A74" s="198"/>
      <c r="B74" s="200" t="s">
        <v>174</v>
      </c>
      <c r="C74" s="201"/>
      <c r="D74" s="201"/>
      <c r="E74" s="201"/>
      <c r="F74" s="201"/>
      <c r="G74" s="201"/>
      <c r="H74" s="48"/>
      <c r="I74" s="13"/>
      <c r="J74" s="202"/>
      <c r="K74" s="27">
        <f>K72+K73</f>
        <v>0</v>
      </c>
      <c r="L74" s="114">
        <v>27</v>
      </c>
    </row>
    <row r="75" spans="1:13" ht="6" customHeight="1" thickTop="1">
      <c r="A75" s="225"/>
      <c r="B75" s="128"/>
      <c r="C75" s="128"/>
      <c r="D75" s="128"/>
      <c r="E75" s="128"/>
      <c r="F75" s="128"/>
      <c r="G75" s="128"/>
      <c r="H75" s="128"/>
      <c r="I75" s="128"/>
      <c r="J75" s="128"/>
      <c r="K75" s="128"/>
      <c r="L75" s="128"/>
    </row>
    <row r="76" spans="1:13" ht="11.1" customHeight="1">
      <c r="A76" s="48"/>
      <c r="I76" s="143"/>
      <c r="J76" s="143"/>
      <c r="K76" s="143"/>
      <c r="L76" s="114"/>
    </row>
    <row r="77" spans="1:13" ht="16.5" customHeight="1">
      <c r="A77" s="48"/>
      <c r="B77" s="199" t="s">
        <v>182</v>
      </c>
      <c r="I77" s="143"/>
      <c r="J77" s="143"/>
      <c r="K77" s="143"/>
      <c r="L77" s="114"/>
    </row>
    <row r="78" spans="1:13">
      <c r="A78" s="48"/>
      <c r="B78" s="4" t="s">
        <v>206</v>
      </c>
      <c r="I78" s="143"/>
      <c r="J78" s="143"/>
      <c r="K78" s="143"/>
      <c r="L78" s="114"/>
    </row>
    <row r="79" spans="1:13" ht="16.5" customHeight="1">
      <c r="A79" s="48"/>
      <c r="I79" s="143"/>
      <c r="J79" s="143"/>
      <c r="K79" s="143"/>
      <c r="L79" s="114"/>
    </row>
    <row r="80" spans="1:13" ht="16.5" customHeight="1" thickBot="1">
      <c r="A80" s="48"/>
      <c r="B80" s="200" t="s">
        <v>207</v>
      </c>
      <c r="C80" s="201"/>
      <c r="D80" s="201"/>
      <c r="E80" s="201"/>
      <c r="F80" s="201"/>
      <c r="G80" s="201"/>
      <c r="I80" s="14"/>
      <c r="J80" s="202">
        <v>0.08</v>
      </c>
      <c r="K80" s="27">
        <f>I80*J80</f>
        <v>0</v>
      </c>
      <c r="L80" s="114">
        <v>30</v>
      </c>
      <c r="M80" s="141"/>
    </row>
    <row r="81" spans="1:13" ht="16.5" customHeight="1" thickTop="1" thickBot="1">
      <c r="A81" s="48"/>
      <c r="B81" s="200" t="s">
        <v>174</v>
      </c>
      <c r="C81" s="201"/>
      <c r="D81" s="201"/>
      <c r="E81" s="201"/>
      <c r="F81" s="201"/>
      <c r="G81" s="201"/>
      <c r="I81" s="27">
        <f>I80</f>
        <v>0</v>
      </c>
      <c r="J81" s="13"/>
      <c r="K81" s="27">
        <f>K80</f>
        <v>0</v>
      </c>
      <c r="L81" s="114">
        <v>31</v>
      </c>
      <c r="M81" s="203"/>
    </row>
    <row r="82" spans="1:13" ht="16.5" customHeight="1" thickTop="1">
      <c r="A82" s="48"/>
      <c r="I82" s="143"/>
      <c r="J82" s="143"/>
      <c r="K82" s="143"/>
      <c r="L82" s="114"/>
    </row>
    <row r="83" spans="1:13" ht="16.5" customHeight="1">
      <c r="A83" s="48"/>
      <c r="B83" s="199" t="s">
        <v>203</v>
      </c>
      <c r="I83" s="143"/>
      <c r="J83" s="143"/>
      <c r="K83" s="143"/>
      <c r="L83" s="114"/>
    </row>
    <row r="84" spans="1:13">
      <c r="A84" s="48"/>
      <c r="B84" s="4" t="s">
        <v>206</v>
      </c>
      <c r="I84" s="143"/>
      <c r="J84" s="143"/>
      <c r="K84" s="143"/>
      <c r="L84" s="114"/>
    </row>
    <row r="85" spans="1:13" ht="16.5" customHeight="1">
      <c r="A85" s="48"/>
      <c r="B85" s="48"/>
      <c r="C85" s="48"/>
      <c r="D85" s="48"/>
      <c r="E85" s="48"/>
      <c r="F85" s="48"/>
      <c r="G85" s="48"/>
      <c r="I85" s="143"/>
      <c r="J85" s="143"/>
      <c r="K85" s="143"/>
      <c r="L85" s="114"/>
    </row>
    <row r="86" spans="1:13" ht="16.5" customHeight="1" thickBot="1">
      <c r="A86" s="48"/>
      <c r="B86" s="200" t="s">
        <v>208</v>
      </c>
      <c r="C86" s="201"/>
      <c r="D86" s="201"/>
      <c r="E86" s="201"/>
      <c r="F86" s="201"/>
      <c r="G86" s="201"/>
      <c r="I86" s="14"/>
      <c r="J86" s="226">
        <v>0.08</v>
      </c>
      <c r="K86" s="27">
        <f>I86*J86</f>
        <v>0</v>
      </c>
      <c r="L86" s="114">
        <v>32</v>
      </c>
    </row>
    <row r="87" spans="1:13" ht="16.5" customHeight="1" thickTop="1" thickBot="1">
      <c r="A87" s="48"/>
      <c r="B87" s="200" t="s">
        <v>174</v>
      </c>
      <c r="C87" s="201"/>
      <c r="D87" s="201"/>
      <c r="E87" s="201"/>
      <c r="F87" s="201"/>
      <c r="G87" s="201"/>
      <c r="I87" s="27">
        <f>I86</f>
        <v>0</v>
      </c>
      <c r="J87" s="13"/>
      <c r="K87" s="27">
        <f>K86</f>
        <v>0</v>
      </c>
      <c r="L87" s="114">
        <v>33</v>
      </c>
    </row>
    <row r="88" spans="1:13" ht="16.5" customHeight="1" thickTop="1">
      <c r="A88" s="48"/>
      <c r="I88" s="143"/>
      <c r="J88" s="143"/>
      <c r="K88" s="143"/>
      <c r="L88" s="114"/>
    </row>
    <row r="89" spans="1:13" ht="16.5" customHeight="1">
      <c r="A89" s="48"/>
      <c r="B89" s="199" t="s">
        <v>209</v>
      </c>
      <c r="I89" s="143"/>
      <c r="J89" s="143"/>
      <c r="K89" s="143"/>
      <c r="L89" s="114"/>
    </row>
    <row r="90" spans="1:13">
      <c r="A90" s="48"/>
      <c r="B90" s="4" t="s">
        <v>210</v>
      </c>
      <c r="I90" s="143"/>
      <c r="J90" s="143"/>
      <c r="K90" s="143"/>
      <c r="L90" s="114"/>
    </row>
    <row r="91" spans="1:13" ht="16.5" customHeight="1">
      <c r="A91" s="48"/>
      <c r="I91" s="143"/>
      <c r="J91" s="143"/>
      <c r="K91" s="143"/>
      <c r="L91" s="114"/>
    </row>
    <row r="92" spans="1:13" ht="16.5" customHeight="1">
      <c r="A92" s="48"/>
      <c r="B92" s="200" t="s">
        <v>211</v>
      </c>
      <c r="C92" s="201"/>
      <c r="D92" s="201"/>
      <c r="E92" s="201"/>
      <c r="F92" s="201"/>
      <c r="G92" s="201"/>
      <c r="I92" s="13"/>
      <c r="J92" s="13"/>
      <c r="K92" s="14"/>
      <c r="L92" s="114">
        <v>34</v>
      </c>
    </row>
    <row r="93" spans="1:13" ht="16.5" customHeight="1">
      <c r="A93" s="48"/>
      <c r="B93" s="200" t="s">
        <v>212</v>
      </c>
      <c r="C93" s="207"/>
      <c r="D93" s="207"/>
      <c r="E93" s="207"/>
      <c r="F93" s="207"/>
      <c r="G93" s="207"/>
      <c r="I93" s="13"/>
      <c r="J93" s="13"/>
      <c r="K93" s="14"/>
      <c r="L93" s="114">
        <v>35</v>
      </c>
    </row>
    <row r="94" spans="1:13" ht="16.5" customHeight="1">
      <c r="A94" s="48"/>
      <c r="B94" s="200" t="s">
        <v>213</v>
      </c>
      <c r="C94" s="207"/>
      <c r="D94" s="207"/>
      <c r="E94" s="207"/>
      <c r="F94" s="207"/>
      <c r="G94" s="207"/>
      <c r="I94" s="13"/>
      <c r="J94" s="13"/>
      <c r="K94" s="14"/>
      <c r="L94" s="114">
        <v>36</v>
      </c>
    </row>
    <row r="95" spans="1:13" ht="16.5" customHeight="1">
      <c r="A95" s="48"/>
      <c r="B95" s="200" t="s">
        <v>214</v>
      </c>
      <c r="C95" s="207"/>
      <c r="D95" s="207"/>
      <c r="E95" s="207"/>
      <c r="F95" s="207"/>
      <c r="G95" s="207"/>
      <c r="I95" s="13"/>
      <c r="J95" s="13"/>
      <c r="K95" s="14"/>
      <c r="L95" s="114">
        <v>37</v>
      </c>
    </row>
    <row r="96" spans="1:13" ht="16.5" customHeight="1">
      <c r="A96" s="48"/>
      <c r="B96" s="200" t="s">
        <v>215</v>
      </c>
      <c r="C96" s="207"/>
      <c r="D96" s="207"/>
      <c r="E96" s="207"/>
      <c r="F96" s="207"/>
      <c r="G96" s="207"/>
      <c r="I96" s="13"/>
      <c r="J96" s="13"/>
      <c r="K96" s="14"/>
      <c r="L96" s="114">
        <v>38</v>
      </c>
    </row>
    <row r="97" spans="1:12" ht="16.5" customHeight="1" thickBot="1">
      <c r="A97" s="48"/>
      <c r="B97" s="200" t="s">
        <v>174</v>
      </c>
      <c r="C97" s="207"/>
      <c r="D97" s="207"/>
      <c r="E97" s="207"/>
      <c r="F97" s="207"/>
      <c r="G97" s="207"/>
      <c r="I97" s="13"/>
      <c r="J97" s="13"/>
      <c r="K97" s="27">
        <f>K92+K93+K94+K95+K96</f>
        <v>0</v>
      </c>
      <c r="L97" s="114">
        <v>39</v>
      </c>
    </row>
    <row r="98" spans="1:12" ht="16.5" customHeight="1" thickTop="1">
      <c r="A98" s="48"/>
      <c r="I98" s="143"/>
      <c r="J98" s="143"/>
      <c r="K98" s="143"/>
      <c r="L98" s="114"/>
    </row>
    <row r="99" spans="1:12" ht="16.5" customHeight="1">
      <c r="A99" s="48"/>
      <c r="B99" s="199" t="s">
        <v>216</v>
      </c>
      <c r="I99" s="143"/>
      <c r="J99" s="143"/>
      <c r="K99" s="143"/>
      <c r="L99" s="114"/>
    </row>
    <row r="100" spans="1:12">
      <c r="A100" s="48"/>
      <c r="B100" s="4" t="s">
        <v>217</v>
      </c>
      <c r="I100" s="143"/>
      <c r="J100" s="143"/>
      <c r="K100" s="143"/>
      <c r="L100" s="114"/>
    </row>
    <row r="101" spans="1:12" ht="16.5" customHeight="1">
      <c r="A101" s="48"/>
      <c r="I101" s="143"/>
      <c r="J101" s="143"/>
      <c r="K101" s="143"/>
      <c r="L101" s="114"/>
    </row>
    <row r="102" spans="1:12" ht="16.5" customHeight="1">
      <c r="A102" s="48"/>
      <c r="B102" s="4" t="s">
        <v>218</v>
      </c>
      <c r="C102" s="48"/>
      <c r="D102" s="48"/>
      <c r="E102" s="48"/>
      <c r="F102" s="48"/>
      <c r="G102" s="48"/>
      <c r="I102" s="143"/>
      <c r="J102" s="143"/>
      <c r="K102" s="143"/>
      <c r="L102" s="114"/>
    </row>
    <row r="103" spans="1:12" ht="16.5" customHeight="1">
      <c r="A103" s="48"/>
      <c r="B103" s="200" t="s">
        <v>211</v>
      </c>
      <c r="C103" s="201"/>
      <c r="D103" s="201"/>
      <c r="E103" s="201"/>
      <c r="F103" s="201"/>
      <c r="G103" s="201"/>
      <c r="I103" s="13"/>
      <c r="J103" s="13"/>
      <c r="K103" s="14"/>
      <c r="L103" s="114">
        <v>40</v>
      </c>
    </row>
    <row r="104" spans="1:12" ht="16.5" customHeight="1">
      <c r="A104" s="48"/>
      <c r="B104" s="200" t="s">
        <v>212</v>
      </c>
      <c r="C104" s="207"/>
      <c r="D104" s="207"/>
      <c r="E104" s="207"/>
      <c r="F104" s="207"/>
      <c r="G104" s="207"/>
      <c r="I104" s="13"/>
      <c r="J104" s="13"/>
      <c r="K104" s="14"/>
      <c r="L104" s="114">
        <v>41</v>
      </c>
    </row>
    <row r="105" spans="1:12" ht="16.5" customHeight="1">
      <c r="A105" s="48"/>
      <c r="B105" s="200" t="s">
        <v>213</v>
      </c>
      <c r="C105" s="207"/>
      <c r="D105" s="207"/>
      <c r="E105" s="207"/>
      <c r="F105" s="207"/>
      <c r="G105" s="207"/>
      <c r="I105" s="13"/>
      <c r="J105" s="13"/>
      <c r="K105" s="14"/>
      <c r="L105" s="114">
        <v>42</v>
      </c>
    </row>
    <row r="106" spans="1:12" ht="16.5" customHeight="1">
      <c r="A106" s="48"/>
      <c r="B106" s="200" t="s">
        <v>214</v>
      </c>
      <c r="C106" s="207"/>
      <c r="D106" s="207"/>
      <c r="E106" s="207"/>
      <c r="F106" s="207"/>
      <c r="G106" s="207"/>
      <c r="I106" s="13"/>
      <c r="J106" s="13"/>
      <c r="K106" s="14"/>
      <c r="L106" s="114">
        <v>43</v>
      </c>
    </row>
    <row r="107" spans="1:12" ht="16.5" customHeight="1">
      <c r="A107" s="48"/>
      <c r="B107" s="200" t="s">
        <v>215</v>
      </c>
      <c r="C107" s="207"/>
      <c r="D107" s="207"/>
      <c r="E107" s="207"/>
      <c r="F107" s="207"/>
      <c r="G107" s="207"/>
      <c r="I107" s="13"/>
      <c r="J107" s="13"/>
      <c r="K107" s="14"/>
      <c r="L107" s="114">
        <v>44</v>
      </c>
    </row>
    <row r="108" spans="1:12" ht="16.5" customHeight="1" thickBot="1">
      <c r="A108" s="48"/>
      <c r="B108" s="200" t="s">
        <v>174</v>
      </c>
      <c r="C108" s="207"/>
      <c r="D108" s="207"/>
      <c r="E108" s="207"/>
      <c r="F108" s="207"/>
      <c r="G108" s="207"/>
      <c r="I108" s="13"/>
      <c r="J108" s="13"/>
      <c r="K108" s="27">
        <f>K103+K104+K105+K106+K107</f>
        <v>0</v>
      </c>
      <c r="L108" s="114">
        <v>45</v>
      </c>
    </row>
    <row r="109" spans="1:12" ht="16.5" customHeight="1" thickTop="1">
      <c r="A109" s="48"/>
      <c r="I109" s="143"/>
      <c r="J109" s="143"/>
      <c r="K109" s="143"/>
      <c r="L109" s="114"/>
    </row>
    <row r="110" spans="1:12" ht="16.5" customHeight="1">
      <c r="A110" s="48"/>
      <c r="B110" s="4" t="s">
        <v>219</v>
      </c>
      <c r="I110" s="143"/>
      <c r="J110" s="143"/>
      <c r="K110" s="143"/>
      <c r="L110" s="114"/>
    </row>
    <row r="111" spans="1:12" ht="16.5" customHeight="1">
      <c r="A111" s="48"/>
      <c r="B111" s="200" t="s">
        <v>211</v>
      </c>
      <c r="C111" s="201"/>
      <c r="D111" s="201"/>
      <c r="E111" s="201"/>
      <c r="F111" s="201"/>
      <c r="G111" s="201"/>
      <c r="I111" s="13"/>
      <c r="J111" s="13"/>
      <c r="K111" s="14"/>
      <c r="L111" s="114">
        <v>46</v>
      </c>
    </row>
    <row r="112" spans="1:12" ht="16.5" customHeight="1">
      <c r="A112" s="48"/>
      <c r="B112" s="200" t="s">
        <v>212</v>
      </c>
      <c r="C112" s="207"/>
      <c r="D112" s="207"/>
      <c r="E112" s="207"/>
      <c r="F112" s="207"/>
      <c r="G112" s="207"/>
      <c r="I112" s="13"/>
      <c r="J112" s="13"/>
      <c r="K112" s="14"/>
      <c r="L112" s="114">
        <v>47</v>
      </c>
    </row>
    <row r="113" spans="1:12" ht="16.5" customHeight="1">
      <c r="A113" s="48"/>
      <c r="B113" s="200" t="s">
        <v>213</v>
      </c>
      <c r="C113" s="207"/>
      <c r="D113" s="207"/>
      <c r="E113" s="207"/>
      <c r="F113" s="207"/>
      <c r="G113" s="207"/>
      <c r="I113" s="13"/>
      <c r="J113" s="13"/>
      <c r="K113" s="14"/>
      <c r="L113" s="114">
        <v>48</v>
      </c>
    </row>
    <row r="114" spans="1:12" ht="16.5" customHeight="1">
      <c r="A114" s="48"/>
      <c r="B114" s="200" t="s">
        <v>214</v>
      </c>
      <c r="C114" s="207"/>
      <c r="D114" s="207"/>
      <c r="E114" s="207"/>
      <c r="F114" s="207"/>
      <c r="G114" s="207"/>
      <c r="I114" s="13"/>
      <c r="J114" s="13"/>
      <c r="K114" s="14"/>
      <c r="L114" s="114">
        <v>49</v>
      </c>
    </row>
    <row r="115" spans="1:12" ht="16.5" customHeight="1">
      <c r="A115" s="48"/>
      <c r="B115" s="200" t="s">
        <v>215</v>
      </c>
      <c r="C115" s="207"/>
      <c r="D115" s="207"/>
      <c r="E115" s="207"/>
      <c r="F115" s="207"/>
      <c r="G115" s="207"/>
      <c r="I115" s="13"/>
      <c r="J115" s="13"/>
      <c r="K115" s="14"/>
      <c r="L115" s="114">
        <v>50</v>
      </c>
    </row>
    <row r="116" spans="1:12" ht="16.5" customHeight="1" thickBot="1">
      <c r="A116" s="48"/>
      <c r="B116" s="200" t="s">
        <v>174</v>
      </c>
      <c r="C116" s="207"/>
      <c r="D116" s="207"/>
      <c r="E116" s="207"/>
      <c r="F116" s="207"/>
      <c r="G116" s="207"/>
      <c r="I116" s="13"/>
      <c r="J116" s="13"/>
      <c r="K116" s="27">
        <f>K111+K112+K113+K114+K115</f>
        <v>0</v>
      </c>
      <c r="L116" s="114">
        <v>51</v>
      </c>
    </row>
    <row r="117" spans="1:12" ht="16.5" customHeight="1" thickTop="1">
      <c r="A117" s="48"/>
      <c r="I117" s="143"/>
      <c r="J117" s="143"/>
      <c r="K117" s="143"/>
      <c r="L117" s="114"/>
    </row>
    <row r="118" spans="1:12" ht="16.5" customHeight="1">
      <c r="A118" s="48"/>
      <c r="B118" s="199" t="s">
        <v>209</v>
      </c>
      <c r="I118" s="143"/>
      <c r="J118" s="143"/>
      <c r="K118" s="143"/>
      <c r="L118" s="114"/>
    </row>
    <row r="119" spans="1:12">
      <c r="A119" s="48"/>
      <c r="B119" s="4" t="s">
        <v>220</v>
      </c>
      <c r="I119" s="143"/>
      <c r="J119" s="143"/>
      <c r="K119" s="143"/>
      <c r="L119" s="114"/>
    </row>
    <row r="120" spans="1:12" ht="16.5" customHeight="1">
      <c r="A120" s="48"/>
      <c r="I120" s="143"/>
      <c r="J120" s="143"/>
      <c r="K120" s="143"/>
      <c r="L120" s="114"/>
    </row>
    <row r="121" spans="1:12" ht="16.5" customHeight="1">
      <c r="A121" s="48"/>
      <c r="B121" s="200" t="s">
        <v>211</v>
      </c>
      <c r="C121" s="201"/>
      <c r="D121" s="201"/>
      <c r="E121" s="201"/>
      <c r="F121" s="201"/>
      <c r="G121" s="201"/>
      <c r="I121" s="13"/>
      <c r="J121" s="13"/>
      <c r="K121" s="14"/>
      <c r="L121" s="114">
        <v>52</v>
      </c>
    </row>
    <row r="122" spans="1:12" ht="16.5" customHeight="1">
      <c r="A122" s="48"/>
      <c r="B122" s="200" t="s">
        <v>212</v>
      </c>
      <c r="C122" s="207"/>
      <c r="D122" s="207"/>
      <c r="E122" s="207"/>
      <c r="F122" s="207"/>
      <c r="G122" s="207"/>
      <c r="I122" s="13"/>
      <c r="J122" s="13"/>
      <c r="K122" s="14"/>
      <c r="L122" s="114">
        <v>53</v>
      </c>
    </row>
    <row r="123" spans="1:12" ht="16.5" customHeight="1">
      <c r="A123" s="48"/>
      <c r="B123" s="200" t="s">
        <v>213</v>
      </c>
      <c r="C123" s="207"/>
      <c r="D123" s="207"/>
      <c r="E123" s="207"/>
      <c r="F123" s="207"/>
      <c r="G123" s="207"/>
      <c r="I123" s="13"/>
      <c r="J123" s="13"/>
      <c r="K123" s="14"/>
      <c r="L123" s="114">
        <v>54</v>
      </c>
    </row>
    <row r="124" spans="1:12" ht="16.5" customHeight="1">
      <c r="A124" s="48"/>
      <c r="B124" s="200" t="s">
        <v>214</v>
      </c>
      <c r="C124" s="207"/>
      <c r="D124" s="207"/>
      <c r="E124" s="207"/>
      <c r="F124" s="207"/>
      <c r="G124" s="207"/>
      <c r="I124" s="13"/>
      <c r="J124" s="13"/>
      <c r="K124" s="14"/>
      <c r="L124" s="114">
        <v>55</v>
      </c>
    </row>
    <row r="125" spans="1:12" ht="16.5" customHeight="1">
      <c r="A125" s="48"/>
      <c r="B125" s="200" t="s">
        <v>215</v>
      </c>
      <c r="C125" s="207"/>
      <c r="D125" s="207"/>
      <c r="E125" s="207"/>
      <c r="F125" s="207"/>
      <c r="G125" s="207"/>
      <c r="I125" s="13"/>
      <c r="J125" s="13"/>
      <c r="K125" s="14"/>
      <c r="L125" s="114">
        <v>56</v>
      </c>
    </row>
    <row r="126" spans="1:12" ht="16.5" customHeight="1" thickBot="1">
      <c r="A126" s="48"/>
      <c r="B126" s="200" t="s">
        <v>174</v>
      </c>
      <c r="C126" s="207"/>
      <c r="D126" s="207"/>
      <c r="E126" s="207"/>
      <c r="F126" s="207"/>
      <c r="G126" s="207"/>
      <c r="I126" s="13"/>
      <c r="J126" s="13"/>
      <c r="K126" s="27">
        <f>K121+K122+K123+K124+K125</f>
        <v>0</v>
      </c>
      <c r="L126" s="114">
        <v>57</v>
      </c>
    </row>
    <row r="127" spans="1:12" ht="6" customHeight="1" thickTop="1">
      <c r="A127" s="128"/>
      <c r="B127" s="128"/>
      <c r="C127" s="128"/>
      <c r="D127" s="128"/>
      <c r="E127" s="128"/>
      <c r="F127" s="128"/>
      <c r="G127" s="128"/>
      <c r="H127" s="128"/>
      <c r="I127" s="128"/>
      <c r="J127" s="128"/>
      <c r="K127" s="128"/>
      <c r="L127" s="128"/>
    </row>
    <row r="128" spans="1:12" ht="11.1" customHeight="1">
      <c r="A128" s="48"/>
      <c r="I128" s="143"/>
      <c r="J128" s="143"/>
      <c r="K128" s="143"/>
      <c r="L128" s="114"/>
    </row>
    <row r="129" spans="1:13" ht="16.5" customHeight="1">
      <c r="A129" s="48"/>
      <c r="B129" s="199" t="s">
        <v>221</v>
      </c>
      <c r="I129" s="143"/>
      <c r="J129" s="143"/>
      <c r="K129" s="143"/>
      <c r="L129" s="114"/>
    </row>
    <row r="130" spans="1:13" ht="16.5" customHeight="1">
      <c r="A130" s="48"/>
      <c r="B130" s="183" t="s">
        <v>222</v>
      </c>
      <c r="I130" s="143"/>
      <c r="J130" s="143"/>
      <c r="K130" s="143"/>
      <c r="L130" s="114"/>
    </row>
    <row r="131" spans="1:13" ht="16.5" customHeight="1">
      <c r="A131" s="48"/>
      <c r="B131" s="278" t="s">
        <v>529</v>
      </c>
      <c r="I131" s="143"/>
      <c r="J131" s="143"/>
      <c r="K131" s="143"/>
      <c r="L131" s="114"/>
    </row>
    <row r="132" spans="1:13" ht="22.5" customHeight="1">
      <c r="A132" s="48"/>
      <c r="B132" s="199" t="s">
        <v>223</v>
      </c>
      <c r="I132" s="143"/>
      <c r="J132" s="143"/>
      <c r="K132" s="143"/>
      <c r="L132" s="114"/>
    </row>
    <row r="133" spans="1:13" ht="16.5" customHeight="1">
      <c r="A133" s="48"/>
      <c r="B133" s="200" t="s">
        <v>224</v>
      </c>
      <c r="C133" s="201"/>
      <c r="D133" s="201"/>
      <c r="E133" s="201"/>
      <c r="F133" s="201"/>
      <c r="G133" s="201"/>
      <c r="I133" s="13"/>
      <c r="J133" s="13"/>
      <c r="K133" s="14"/>
      <c r="L133" s="114">
        <v>58</v>
      </c>
    </row>
    <row r="134" spans="1:13" ht="16.5" customHeight="1">
      <c r="A134" s="48"/>
      <c r="B134" s="200" t="s">
        <v>225</v>
      </c>
      <c r="C134" s="207"/>
      <c r="D134" s="207"/>
      <c r="E134" s="207"/>
      <c r="F134" s="207"/>
      <c r="G134" s="207"/>
      <c r="I134" s="13"/>
      <c r="J134" s="13"/>
      <c r="K134" s="14"/>
      <c r="L134" s="114">
        <v>59</v>
      </c>
    </row>
    <row r="135" spans="1:13" ht="16.5" customHeight="1">
      <c r="A135" s="48"/>
      <c r="B135" s="200" t="s">
        <v>226</v>
      </c>
      <c r="C135" s="207"/>
      <c r="D135" s="207"/>
      <c r="E135" s="207"/>
      <c r="F135" s="207"/>
      <c r="G135" s="207"/>
      <c r="I135" s="13"/>
      <c r="J135" s="13"/>
      <c r="K135" s="14"/>
      <c r="L135" s="114">
        <v>60</v>
      </c>
    </row>
    <row r="136" spans="1:13" ht="16.5" customHeight="1">
      <c r="A136" s="48"/>
      <c r="B136" s="200" t="s">
        <v>227</v>
      </c>
      <c r="C136" s="207"/>
      <c r="D136" s="207"/>
      <c r="E136" s="207"/>
      <c r="F136" s="207"/>
      <c r="G136" s="207"/>
      <c r="I136" s="13"/>
      <c r="J136" s="13"/>
      <c r="K136" s="14"/>
      <c r="L136" s="114">
        <v>61</v>
      </c>
    </row>
    <row r="137" spans="1:13" ht="16.5" customHeight="1">
      <c r="A137" s="48"/>
      <c r="B137" s="200" t="s">
        <v>228</v>
      </c>
      <c r="C137" s="207"/>
      <c r="D137" s="207"/>
      <c r="E137" s="207"/>
      <c r="F137" s="207"/>
      <c r="G137" s="207"/>
      <c r="I137" s="13"/>
      <c r="J137" s="13"/>
      <c r="K137" s="14"/>
      <c r="L137" s="114">
        <v>62</v>
      </c>
    </row>
    <row r="138" spans="1:13" ht="16.5" customHeight="1" thickBot="1">
      <c r="A138" s="48"/>
      <c r="B138" s="200" t="s">
        <v>229</v>
      </c>
      <c r="C138" s="207"/>
      <c r="D138" s="207"/>
      <c r="E138" s="207"/>
      <c r="F138" s="207"/>
      <c r="G138" s="207"/>
      <c r="I138" s="13"/>
      <c r="J138" s="227"/>
      <c r="K138" s="27">
        <f>K137*J138</f>
        <v>0</v>
      </c>
      <c r="L138" s="114">
        <v>63</v>
      </c>
      <c r="M138" s="115" t="str">
        <f>IF(OR(K133&gt;0,K134&gt;0,K135&gt;0,K136&gt;0,K137&gt;0),IF(J138&gt;=3,"OK","ERROR"),"OK")</f>
        <v>OK</v>
      </c>
    </row>
    <row r="139" spans="1:13" ht="16.5" customHeight="1" thickTop="1" thickBot="1">
      <c r="A139" s="48"/>
      <c r="B139" s="200" t="s">
        <v>174</v>
      </c>
      <c r="C139" s="207"/>
      <c r="D139" s="207"/>
      <c r="E139" s="207"/>
      <c r="F139" s="207"/>
      <c r="G139" s="207"/>
      <c r="I139" s="13"/>
      <c r="J139" s="13"/>
      <c r="K139" s="27">
        <f>K138</f>
        <v>0</v>
      </c>
      <c r="L139" s="114">
        <v>66</v>
      </c>
      <c r="M139" s="228"/>
    </row>
    <row r="140" spans="1:13" ht="22.5" customHeight="1" thickTop="1">
      <c r="A140" s="48"/>
      <c r="B140" s="199" t="s">
        <v>230</v>
      </c>
      <c r="I140" s="143"/>
      <c r="J140" s="143"/>
      <c r="K140" s="143"/>
      <c r="L140" s="114"/>
    </row>
    <row r="141" spans="1:13" ht="16.5" customHeight="1">
      <c r="A141" s="48"/>
      <c r="B141" s="200" t="s">
        <v>224</v>
      </c>
      <c r="C141" s="201"/>
      <c r="D141" s="201"/>
      <c r="E141" s="201"/>
      <c r="F141" s="201"/>
      <c r="G141" s="201"/>
      <c r="I141" s="13"/>
      <c r="J141" s="13"/>
      <c r="K141" s="14"/>
      <c r="L141" s="114">
        <v>67</v>
      </c>
    </row>
    <row r="142" spans="1:13" ht="16.5" customHeight="1">
      <c r="A142" s="48"/>
      <c r="B142" s="200" t="s">
        <v>225</v>
      </c>
      <c r="C142" s="207"/>
      <c r="D142" s="207"/>
      <c r="E142" s="207"/>
      <c r="F142" s="207"/>
      <c r="G142" s="207"/>
      <c r="I142" s="13"/>
      <c r="J142" s="13"/>
      <c r="K142" s="14"/>
      <c r="L142" s="114">
        <v>68</v>
      </c>
    </row>
    <row r="143" spans="1:13" ht="16.5" customHeight="1">
      <c r="A143" s="48"/>
      <c r="B143" s="200" t="s">
        <v>226</v>
      </c>
      <c r="C143" s="207"/>
      <c r="D143" s="207"/>
      <c r="E143" s="207"/>
      <c r="F143" s="207"/>
      <c r="G143" s="207"/>
      <c r="I143" s="13"/>
      <c r="J143" s="13"/>
      <c r="K143" s="14"/>
      <c r="L143" s="114">
        <v>69</v>
      </c>
    </row>
    <row r="144" spans="1:13" ht="16.5" customHeight="1">
      <c r="A144" s="48"/>
      <c r="B144" s="200" t="s">
        <v>227</v>
      </c>
      <c r="C144" s="207"/>
      <c r="D144" s="207"/>
      <c r="E144" s="207"/>
      <c r="F144" s="207"/>
      <c r="G144" s="207"/>
      <c r="I144" s="13"/>
      <c r="J144" s="13"/>
      <c r="K144" s="14"/>
      <c r="L144" s="114">
        <v>70</v>
      </c>
    </row>
    <row r="145" spans="1:13" ht="16.5" customHeight="1">
      <c r="A145" s="48"/>
      <c r="B145" s="200" t="s">
        <v>228</v>
      </c>
      <c r="C145" s="207"/>
      <c r="D145" s="207"/>
      <c r="E145" s="207"/>
      <c r="F145" s="207"/>
      <c r="G145" s="207"/>
      <c r="I145" s="13"/>
      <c r="J145" s="13"/>
      <c r="K145" s="14"/>
      <c r="L145" s="114">
        <v>71</v>
      </c>
    </row>
    <row r="146" spans="1:13" ht="16.5" customHeight="1" thickBot="1">
      <c r="A146" s="48"/>
      <c r="B146" s="200" t="s">
        <v>174</v>
      </c>
      <c r="C146" s="207"/>
      <c r="D146" s="207"/>
      <c r="E146" s="207"/>
      <c r="F146" s="207"/>
      <c r="G146" s="207"/>
      <c r="I146" s="13"/>
      <c r="J146" s="13"/>
      <c r="K146" s="27">
        <f>K145</f>
        <v>0</v>
      </c>
      <c r="L146" s="114">
        <v>74</v>
      </c>
      <c r="M146" s="228"/>
    </row>
    <row r="147" spans="1:13" ht="22.5" customHeight="1" thickTop="1">
      <c r="A147" s="215"/>
      <c r="B147" s="213" t="s">
        <v>231</v>
      </c>
      <c r="C147" s="215"/>
      <c r="D147" s="214"/>
      <c r="E147" s="215"/>
      <c r="F147" s="215"/>
      <c r="G147" s="215"/>
      <c r="H147" s="229"/>
      <c r="I147" s="182"/>
      <c r="J147" s="182"/>
      <c r="K147" s="230"/>
      <c r="L147" s="114"/>
      <c r="M147" s="231"/>
    </row>
    <row r="148" spans="1:13" ht="16.5" customHeight="1">
      <c r="A148" s="215"/>
      <c r="B148" s="217" t="s">
        <v>232</v>
      </c>
      <c r="C148" s="219"/>
      <c r="D148" s="219"/>
      <c r="E148" s="219"/>
      <c r="F148" s="219"/>
      <c r="G148" s="218"/>
      <c r="H148" s="229"/>
      <c r="I148" s="13"/>
      <c r="J148" s="13"/>
      <c r="K148" s="232"/>
      <c r="L148" s="114">
        <v>83</v>
      </c>
      <c r="M148" s="231"/>
    </row>
    <row r="149" spans="1:13" ht="16.5" customHeight="1">
      <c r="A149" s="215"/>
      <c r="B149" s="233" t="s">
        <v>233</v>
      </c>
      <c r="C149" s="234"/>
      <c r="D149" s="235"/>
      <c r="E149" s="234"/>
      <c r="F149" s="234"/>
      <c r="G149" s="234"/>
      <c r="H149" s="229"/>
      <c r="I149" s="13"/>
      <c r="J149" s="13"/>
      <c r="K149" s="232"/>
      <c r="L149" s="114">
        <v>84</v>
      </c>
      <c r="M149" s="231"/>
    </row>
    <row r="150" spans="1:13" ht="22.5" customHeight="1">
      <c r="A150" s="215"/>
      <c r="B150" s="213" t="s">
        <v>234</v>
      </c>
      <c r="C150" s="215"/>
      <c r="D150" s="214"/>
      <c r="E150" s="215"/>
      <c r="F150" s="215"/>
      <c r="G150" s="215"/>
      <c r="H150" s="229"/>
      <c r="I150" s="182"/>
      <c r="J150" s="182"/>
      <c r="K150" s="230"/>
      <c r="L150" s="114"/>
      <c r="M150" s="231"/>
    </row>
    <row r="151" spans="1:13" ht="16.5" customHeight="1">
      <c r="A151" s="215"/>
      <c r="B151" s="217" t="s">
        <v>235</v>
      </c>
      <c r="C151" s="219"/>
      <c r="D151" s="218"/>
      <c r="E151" s="219"/>
      <c r="F151" s="219"/>
      <c r="G151" s="219"/>
      <c r="H151" s="229"/>
      <c r="I151" s="13"/>
      <c r="J151" s="13"/>
      <c r="K151" s="232"/>
      <c r="L151" s="114">
        <v>85</v>
      </c>
      <c r="M151" s="231"/>
    </row>
    <row r="152" spans="1:13" ht="16.5" customHeight="1">
      <c r="A152" s="215"/>
      <c r="B152" s="233" t="s">
        <v>236</v>
      </c>
      <c r="C152" s="234"/>
      <c r="D152" s="235"/>
      <c r="E152" s="234"/>
      <c r="F152" s="234"/>
      <c r="G152" s="234"/>
      <c r="H152" s="229"/>
      <c r="I152" s="13"/>
      <c r="J152" s="13"/>
      <c r="K152" s="232"/>
      <c r="L152" s="114">
        <v>86</v>
      </c>
      <c r="M152" s="231"/>
    </row>
    <row r="153" spans="1:13" ht="22.5" customHeight="1">
      <c r="A153" s="215"/>
      <c r="B153" s="213" t="s">
        <v>237</v>
      </c>
      <c r="C153" s="215"/>
      <c r="D153" s="214"/>
      <c r="E153" s="215"/>
      <c r="F153" s="215"/>
      <c r="G153" s="215"/>
      <c r="H153" s="229"/>
      <c r="I153" s="182"/>
      <c r="J153" s="182"/>
      <c r="K153" s="230"/>
      <c r="L153" s="114"/>
      <c r="M153" s="231"/>
    </row>
    <row r="154" spans="1:13" ht="16.5" customHeight="1">
      <c r="A154" s="215"/>
      <c r="B154" s="217" t="s">
        <v>238</v>
      </c>
      <c r="C154" s="219"/>
      <c r="D154" s="218"/>
      <c r="E154" s="219"/>
      <c r="F154" s="219"/>
      <c r="G154" s="219"/>
      <c r="H154" s="229"/>
      <c r="I154" s="13"/>
      <c r="J154" s="13"/>
      <c r="K154" s="232"/>
      <c r="L154" s="114">
        <v>87</v>
      </c>
      <c r="M154" s="231"/>
    </row>
    <row r="155" spans="1:13" ht="16.5" customHeight="1">
      <c r="A155" s="215"/>
      <c r="B155" s="233" t="s">
        <v>239</v>
      </c>
      <c r="C155" s="234"/>
      <c r="D155" s="235"/>
      <c r="E155" s="234"/>
      <c r="F155" s="234"/>
      <c r="G155" s="234"/>
      <c r="H155" s="229"/>
      <c r="I155" s="13"/>
      <c r="J155" s="13"/>
      <c r="K155" s="232"/>
      <c r="L155" s="114">
        <v>88</v>
      </c>
      <c r="M155" s="231"/>
    </row>
    <row r="156" spans="1:13" ht="16.5" customHeight="1">
      <c r="A156" s="215"/>
      <c r="B156" s="233" t="s">
        <v>240</v>
      </c>
      <c r="C156" s="234"/>
      <c r="D156" s="235"/>
      <c r="E156" s="234"/>
      <c r="F156" s="234"/>
      <c r="G156" s="234"/>
      <c r="H156" s="229"/>
      <c r="I156" s="13"/>
      <c r="J156" s="13"/>
      <c r="K156" s="186"/>
      <c r="L156" s="114">
        <v>95</v>
      </c>
      <c r="M156" s="231"/>
    </row>
    <row r="157" spans="1:13" ht="16.5" customHeight="1">
      <c r="A157" s="215"/>
      <c r="B157" s="233" t="s">
        <v>241</v>
      </c>
      <c r="C157" s="234"/>
      <c r="D157" s="235"/>
      <c r="E157" s="234"/>
      <c r="F157" s="234"/>
      <c r="G157" s="234"/>
      <c r="H157" s="229"/>
      <c r="I157" s="13"/>
      <c r="J157" s="13"/>
      <c r="K157" s="186"/>
      <c r="L157" s="114">
        <v>96</v>
      </c>
      <c r="M157" s="231"/>
    </row>
    <row r="158" spans="1:13" ht="16.5" customHeight="1">
      <c r="A158" s="215"/>
      <c r="B158" s="233" t="s">
        <v>254</v>
      </c>
      <c r="C158" s="234"/>
      <c r="D158" s="235"/>
      <c r="E158" s="234"/>
      <c r="F158" s="234"/>
      <c r="G158" s="234"/>
      <c r="H158" s="229"/>
      <c r="I158" s="13"/>
      <c r="J158" s="13"/>
      <c r="K158" s="186"/>
      <c r="L158" s="114">
        <v>97</v>
      </c>
      <c r="M158" s="231"/>
    </row>
    <row r="159" spans="1:13" ht="24.75" customHeight="1">
      <c r="A159" s="48"/>
      <c r="B159" s="236" t="s">
        <v>242</v>
      </c>
      <c r="I159" s="143"/>
      <c r="J159" s="143"/>
      <c r="K159" s="143"/>
      <c r="L159" s="114"/>
    </row>
    <row r="160" spans="1:13" ht="16.5" customHeight="1" thickBot="1">
      <c r="A160" s="48"/>
      <c r="B160" s="200" t="s">
        <v>276</v>
      </c>
      <c r="C160" s="201"/>
      <c r="D160" s="201"/>
      <c r="E160" s="201"/>
      <c r="F160" s="201"/>
      <c r="G160" s="201"/>
      <c r="I160" s="13"/>
      <c r="J160" s="13"/>
      <c r="K160" s="27">
        <f>MAX(K139,K146)+MAX(K148:K149)+MAX(K151:K152)+MAX(K154:K156)</f>
        <v>0</v>
      </c>
      <c r="L160" s="114">
        <v>75</v>
      </c>
    </row>
    <row r="161" spans="1:12" ht="6" customHeight="1" thickTop="1">
      <c r="A161" s="128"/>
      <c r="B161" s="128"/>
      <c r="C161" s="128"/>
      <c r="D161" s="128"/>
      <c r="E161" s="128"/>
      <c r="F161" s="128"/>
      <c r="G161" s="128"/>
      <c r="H161" s="128"/>
      <c r="I161" s="128"/>
      <c r="J161" s="128"/>
      <c r="K161" s="128"/>
      <c r="L161" s="128"/>
    </row>
    <row r="162" spans="1:12" ht="15" customHeight="1">
      <c r="B162" s="21" t="str">
        <f>"Version: "&amp;D176</f>
        <v>Version: 2.00.E1</v>
      </c>
      <c r="L162" s="108" t="s">
        <v>157</v>
      </c>
    </row>
    <row r="163" spans="1:12" ht="16.5" customHeight="1"/>
    <row r="164" spans="1:12" ht="16.5" customHeight="1">
      <c r="A164" s="237" t="s">
        <v>243</v>
      </c>
      <c r="B164" s="183" t="s">
        <v>244</v>
      </c>
    </row>
    <row r="165" spans="1:12" ht="16.5" customHeight="1">
      <c r="A165" s="237" t="s">
        <v>245</v>
      </c>
      <c r="B165" s="183" t="s">
        <v>246</v>
      </c>
    </row>
    <row r="166" spans="1:12">
      <c r="A166" s="190"/>
      <c r="B166" s="183" t="s">
        <v>247</v>
      </c>
    </row>
    <row r="167" spans="1:12" ht="16.5" customHeight="1">
      <c r="A167" s="237" t="s">
        <v>248</v>
      </c>
      <c r="B167" s="183" t="s">
        <v>249</v>
      </c>
    </row>
    <row r="168" spans="1:12">
      <c r="A168" s="190"/>
      <c r="B168" s="183" t="s">
        <v>277</v>
      </c>
    </row>
    <row r="169" spans="1:12">
      <c r="A169" s="190"/>
      <c r="B169" s="183" t="s">
        <v>250</v>
      </c>
    </row>
    <row r="170" spans="1:12" ht="16.5" customHeight="1">
      <c r="A170" s="237" t="s">
        <v>251</v>
      </c>
      <c r="B170" s="183" t="s">
        <v>252</v>
      </c>
    </row>
    <row r="173" spans="1:12">
      <c r="A173" s="3"/>
      <c r="B173" s="238"/>
      <c r="C173" s="31" t="s">
        <v>94</v>
      </c>
      <c r="D173" s="16" t="str">
        <f>K2</f>
        <v>XXXXXX</v>
      </c>
    </row>
    <row r="174" spans="1:12">
      <c r="A174" s="5"/>
      <c r="B174" s="9"/>
      <c r="C174" s="6"/>
      <c r="D174" s="239" t="str">
        <f>K1</f>
        <v>CSIB_MKR_BIS</v>
      </c>
    </row>
    <row r="175" spans="1:12">
      <c r="A175" s="5"/>
      <c r="B175" s="9"/>
      <c r="C175" s="6"/>
      <c r="D175" s="239" t="str">
        <f>K3</f>
        <v>DD.MM.YYYY</v>
      </c>
    </row>
    <row r="176" spans="1:12">
      <c r="A176" s="5"/>
      <c r="B176" s="9"/>
      <c r="C176" s="6"/>
      <c r="D176" s="20" t="s">
        <v>623</v>
      </c>
    </row>
    <row r="177" spans="1:4">
      <c r="A177" s="5"/>
      <c r="B177" s="9"/>
      <c r="C177" s="6"/>
      <c r="D177" s="134" t="str">
        <f>I10</f>
        <v>col. 01</v>
      </c>
    </row>
    <row r="178" spans="1:4">
      <c r="A178" s="10"/>
      <c r="B178" s="75"/>
      <c r="C178" s="8"/>
      <c r="D178" s="240">
        <f>COUNTIF(M11:M170,"ERROR")+COUNTIF(N10,"ERROR")</f>
        <v>0</v>
      </c>
    </row>
    <row r="179" spans="1:4">
      <c r="A179" s="6"/>
      <c r="B179" s="241">
        <f>COUNTIF(M11:M170,"WARNUNG")</f>
        <v>0</v>
      </c>
      <c r="C179" s="7"/>
      <c r="D179" s="6"/>
    </row>
  </sheetData>
  <sheetProtection sheet="1" objects="1" scenarios="1"/>
  <customSheetViews>
    <customSheetView guid="{4435029F-2F1B-45E2-BFDE-13E66716A0E9}" scale="80" showGridLines="0" showRowCol="0" zeroValues="0">
      <pane ySplit="10" topLeftCell="A11" activePane="bottomLeft" state="frozen"/>
      <selection pane="bottomLeft" activeCell="K18" sqref="K18"/>
      <rowBreaks count="2" manualBreakCount="2">
        <brk id="75" max="11" man="1"/>
        <brk id="127" max="11" man="1"/>
      </rowBreaks>
      <pageMargins left="0.39370078740157483" right="0.39370078740157483" top="0.39370078740157483" bottom="0.39370078740157483" header="0.31496062992125984" footer="0.31496062992125984"/>
      <pageSetup paperSize="9" scale="62" fitToHeight="2" pageOrder="overThenDown" orientation="portrait" horizontalDpi="4294967292" verticalDpi="4294967292" r:id="rId1"/>
      <headerFooter alignWithMargins="0">
        <oddFooter>&amp;L&amp;"Arial,Fett"SNB Confidential&amp;C&amp;D&amp;RPage &amp;P</oddFooter>
      </headerFooter>
    </customSheetView>
  </customSheetViews>
  <mergeCells count="2">
    <mergeCell ref="B30:G30"/>
    <mergeCell ref="E2:I2"/>
  </mergeCells>
  <printOptions gridLinesSet="0"/>
  <pageMargins left="0.39370078740157483" right="0.39370078740157483" top="0.39370078740157483" bottom="0.39370078740157483" header="0.31496062992125984" footer="0.31496062992125984"/>
  <pageSetup paperSize="9" scale="62" fitToHeight="2" pageOrder="overThenDown" orientation="portrait" horizontalDpi="4294967292" verticalDpi="4294967292" r:id="rId2"/>
  <headerFooter alignWithMargins="0">
    <oddFooter>&amp;L&amp;"Arial,Fett"SNB Confidential&amp;C&amp;D&amp;RPage &amp;P</oddFooter>
  </headerFooter>
  <rowBreaks count="2" manualBreakCount="2">
    <brk id="75" max="11" man="1"/>
    <brk id="127" max="11"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L71"/>
  <sheetViews>
    <sheetView showGridLines="0" showRowColHeaders="0" showZeros="0" zoomScale="80" zoomScaleNormal="80" workbookViewId="0">
      <selection activeCell="F5" sqref="F5"/>
    </sheetView>
  </sheetViews>
  <sheetFormatPr baseColWidth="10" defaultColWidth="11.42578125" defaultRowHeight="12.75"/>
  <cols>
    <col min="2" max="2" width="24.85546875" customWidth="1"/>
    <col min="3" max="3" width="24" customWidth="1"/>
    <col min="4" max="4" width="34.42578125" customWidth="1"/>
    <col min="8" max="8" width="15.28515625" customWidth="1"/>
  </cols>
  <sheetData>
    <row r="1" spans="1:9" ht="18">
      <c r="A1" s="67"/>
      <c r="B1" s="68"/>
      <c r="C1" s="68"/>
      <c r="D1" s="69"/>
      <c r="E1" s="69"/>
      <c r="F1" s="70"/>
      <c r="G1" s="102" t="s">
        <v>1224</v>
      </c>
      <c r="H1" s="172" t="str">
        <f>'Delivery note'!H3</f>
        <v>XXXXXX</v>
      </c>
      <c r="I1" s="4"/>
    </row>
    <row r="2" spans="1:9" ht="23.25">
      <c r="A2" s="6"/>
      <c r="B2" s="68"/>
      <c r="C2" s="68"/>
      <c r="D2" s="72" t="s">
        <v>120</v>
      </c>
      <c r="E2" s="68"/>
      <c r="F2" s="73" t="s">
        <v>121</v>
      </c>
      <c r="G2" s="4"/>
      <c r="H2" s="184">
        <f>SUM(I11:I71)</f>
        <v>0</v>
      </c>
      <c r="I2" s="4"/>
    </row>
    <row r="3" spans="1:9">
      <c r="A3" s="6"/>
      <c r="B3" s="68"/>
      <c r="C3" s="4"/>
      <c r="D3" s="68" t="s">
        <v>122</v>
      </c>
      <c r="E3" s="68"/>
      <c r="F3" s="4"/>
      <c r="G3" s="4"/>
      <c r="H3" s="68"/>
      <c r="I3" s="4"/>
    </row>
    <row r="4" spans="1:9">
      <c r="A4" s="71"/>
      <c r="B4" s="68"/>
      <c r="C4" s="4"/>
      <c r="D4" s="68"/>
      <c r="E4" s="68"/>
      <c r="F4" s="70" t="s">
        <v>123</v>
      </c>
      <c r="G4" s="4"/>
      <c r="H4" s="68" t="s">
        <v>124</v>
      </c>
      <c r="I4" s="4"/>
    </row>
    <row r="5" spans="1:9">
      <c r="A5" s="71"/>
      <c r="B5" s="68"/>
      <c r="C5" s="4"/>
      <c r="D5" s="68"/>
      <c r="E5" s="68"/>
      <c r="F5" s="303">
        <f>(SUM(F11:F71))</f>
        <v>0</v>
      </c>
      <c r="G5" s="4"/>
      <c r="H5" s="68">
        <f>SUM(H11:H71)</f>
        <v>8</v>
      </c>
      <c r="I5" s="4"/>
    </row>
    <row r="6" spans="1:9" ht="19.5" customHeight="1">
      <c r="A6" s="71"/>
      <c r="B6" s="68"/>
      <c r="C6" s="4"/>
      <c r="D6" s="68"/>
      <c r="E6" s="68"/>
      <c r="F6" s="70"/>
      <c r="G6" s="4"/>
      <c r="H6" s="68"/>
      <c r="I6" s="4"/>
    </row>
    <row r="7" spans="1:9" ht="21" customHeight="1">
      <c r="A7" s="8"/>
      <c r="B7" s="75" t="s">
        <v>125</v>
      </c>
      <c r="C7" s="75" t="s">
        <v>126</v>
      </c>
      <c r="D7" s="75" t="s">
        <v>127</v>
      </c>
      <c r="E7" s="76" t="s">
        <v>128</v>
      </c>
      <c r="F7" s="77" t="s">
        <v>129</v>
      </c>
      <c r="G7" s="8"/>
      <c r="H7" s="75" t="s">
        <v>130</v>
      </c>
      <c r="I7" s="4"/>
    </row>
    <row r="8" spans="1:9">
      <c r="A8" s="4"/>
      <c r="B8" s="4"/>
      <c r="C8" s="4"/>
      <c r="D8" s="4"/>
      <c r="E8" s="4"/>
      <c r="F8" s="4"/>
      <c r="G8" s="4"/>
      <c r="H8" s="4"/>
      <c r="I8" s="4"/>
    </row>
    <row r="9" spans="1:9">
      <c r="A9" s="11"/>
      <c r="B9" s="11"/>
      <c r="C9" s="68"/>
      <c r="D9" s="11"/>
      <c r="E9" s="68"/>
      <c r="F9" s="70"/>
      <c r="G9" s="4"/>
      <c r="H9" s="68"/>
      <c r="I9" s="4"/>
    </row>
    <row r="10" spans="1:9" s="278" customFormat="1" ht="21" hidden="1" customHeight="1"/>
    <row r="11" spans="1:9" s="278" customFormat="1" hidden="1"/>
    <row r="12" spans="1:9" s="278" customFormat="1" ht="21" hidden="1" customHeight="1"/>
    <row r="13" spans="1:9" s="278" customFormat="1" hidden="1"/>
    <row r="14" spans="1:9" s="278" customFormat="1" ht="21" hidden="1" customHeight="1"/>
    <row r="15" spans="1:9" s="278" customFormat="1" hidden="1"/>
    <row r="16" spans="1:9" s="278" customFormat="1" ht="21" hidden="1" customHeight="1"/>
    <row r="17" spans="2:12" s="278" customFormat="1" hidden="1"/>
    <row r="18" spans="2:12" s="278" customFormat="1" ht="21" hidden="1" customHeight="1"/>
    <row r="19" spans="2:12" s="278" customFormat="1" hidden="1"/>
    <row r="20" spans="2:12" s="278" customFormat="1" ht="21" hidden="1" customHeight="1"/>
    <row r="21" spans="2:12" s="278" customFormat="1" hidden="1"/>
    <row r="22" spans="2:12" s="278" customFormat="1" ht="21" hidden="1" customHeight="1"/>
    <row r="23" spans="2:12" s="278" customFormat="1" hidden="1"/>
    <row r="24" spans="2:12">
      <c r="I24" s="74"/>
    </row>
    <row r="25" spans="2:12">
      <c r="B25" s="11" t="s">
        <v>602</v>
      </c>
      <c r="C25" s="483"/>
      <c r="D25" s="11" t="s">
        <v>1149</v>
      </c>
      <c r="G25" s="74"/>
      <c r="H25" s="78"/>
      <c r="I25" s="74"/>
    </row>
    <row r="26" spans="2:12" ht="21" customHeight="1">
      <c r="B26" s="78" t="s">
        <v>612</v>
      </c>
      <c r="C26" s="78" t="s">
        <v>126</v>
      </c>
      <c r="D26" s="78" t="s">
        <v>616</v>
      </c>
      <c r="E26" s="78"/>
      <c r="F26" s="79"/>
      <c r="G26" s="74"/>
      <c r="H26" s="74"/>
      <c r="I26" s="74"/>
    </row>
    <row r="27" spans="2:12">
      <c r="B27" s="303">
        <f>'CSIB_CASABISIRB.MELD'!I441</f>
        <v>0</v>
      </c>
      <c r="C27" s="78"/>
      <c r="D27" s="390">
        <f>'[1]CSIB_SETT.MELD'!$J$12</f>
        <v>0</v>
      </c>
      <c r="E27" s="78"/>
      <c r="F27" s="80">
        <f>ABS(B27-D27)</f>
        <v>0</v>
      </c>
      <c r="G27" s="74"/>
      <c r="H27" s="78">
        <v>1</v>
      </c>
      <c r="I27" s="74">
        <f>IF(F27&gt;H27,1,0)</f>
        <v>0</v>
      </c>
      <c r="L27" s="278"/>
    </row>
    <row r="28" spans="2:12" s="278" customFormat="1" ht="21" hidden="1" customHeight="1">
      <c r="B28" s="490"/>
      <c r="C28" s="483"/>
      <c r="D28" s="490"/>
    </row>
    <row r="29" spans="2:12" s="278" customFormat="1" hidden="1">
      <c r="B29" s="490"/>
      <c r="C29" s="483"/>
      <c r="D29" s="490"/>
    </row>
    <row r="30" spans="2:12" s="278" customFormat="1" ht="21" hidden="1" customHeight="1">
      <c r="B30" s="490"/>
      <c r="C30" s="483"/>
      <c r="D30" s="490"/>
    </row>
    <row r="31" spans="2:12" s="278" customFormat="1" hidden="1">
      <c r="B31" s="490"/>
      <c r="C31" s="483"/>
      <c r="D31" s="490"/>
    </row>
    <row r="32" spans="2:12" s="278" customFormat="1" ht="21" hidden="1" customHeight="1">
      <c r="B32" s="490"/>
      <c r="C32" s="483"/>
      <c r="D32" s="490"/>
    </row>
    <row r="33" spans="2:4" s="278" customFormat="1" hidden="1">
      <c r="B33" s="490"/>
      <c r="C33" s="483"/>
      <c r="D33" s="490"/>
    </row>
    <row r="34" spans="2:4" s="278" customFormat="1" ht="21" hidden="1" customHeight="1">
      <c r="B34" s="490"/>
      <c r="C34" s="483"/>
      <c r="D34" s="490"/>
    </row>
    <row r="35" spans="2:4" s="278" customFormat="1" hidden="1">
      <c r="B35" s="490"/>
      <c r="C35" s="483"/>
      <c r="D35" s="490"/>
    </row>
    <row r="36" spans="2:4" s="278" customFormat="1" ht="21" hidden="1" customHeight="1">
      <c r="B36" s="490"/>
      <c r="C36" s="483"/>
      <c r="D36" s="490"/>
    </row>
    <row r="37" spans="2:4" s="278" customFormat="1" hidden="1">
      <c r="B37" s="490"/>
      <c r="C37" s="483"/>
      <c r="D37" s="490"/>
    </row>
    <row r="38" spans="2:4" s="278" customFormat="1" ht="21" hidden="1" customHeight="1">
      <c r="B38" s="490"/>
      <c r="C38" s="483"/>
      <c r="D38" s="490"/>
    </row>
    <row r="39" spans="2:4" s="278" customFormat="1" hidden="1">
      <c r="B39" s="490"/>
      <c r="C39" s="483"/>
      <c r="D39" s="490"/>
    </row>
    <row r="40" spans="2:4" s="278" customFormat="1" ht="21" hidden="1" customHeight="1">
      <c r="B40" s="490"/>
      <c r="C40" s="483"/>
      <c r="D40" s="490"/>
    </row>
    <row r="41" spans="2:4" s="278" customFormat="1" hidden="1">
      <c r="B41" s="490"/>
      <c r="C41" s="483"/>
      <c r="D41" s="490"/>
    </row>
    <row r="42" spans="2:4" s="278" customFormat="1" ht="21" hidden="1" customHeight="1">
      <c r="B42" s="490"/>
      <c r="C42" s="483"/>
      <c r="D42" s="490"/>
    </row>
    <row r="43" spans="2:4" s="278" customFormat="1" hidden="1">
      <c r="B43" s="490"/>
      <c r="C43" s="483"/>
      <c r="D43" s="490"/>
    </row>
    <row r="44" spans="2:4" s="278" customFormat="1" ht="21" hidden="1" customHeight="1">
      <c r="B44" s="490"/>
      <c r="C44" s="483"/>
      <c r="D44" s="490"/>
    </row>
    <row r="45" spans="2:4" s="278" customFormat="1" hidden="1">
      <c r="B45" s="490"/>
      <c r="C45" s="483"/>
      <c r="D45" s="490"/>
    </row>
    <row r="46" spans="2:4" s="278" customFormat="1" ht="21" hidden="1" customHeight="1">
      <c r="B46" s="490"/>
      <c r="C46" s="483"/>
      <c r="D46" s="490"/>
    </row>
    <row r="47" spans="2:4" s="278" customFormat="1" hidden="1">
      <c r="B47" s="490"/>
      <c r="C47" s="483"/>
      <c r="D47" s="490"/>
    </row>
    <row r="48" spans="2:4" s="278" customFormat="1" ht="21" hidden="1" customHeight="1">
      <c r="B48" s="490"/>
      <c r="C48" s="483"/>
      <c r="D48" s="490"/>
    </row>
    <row r="49" spans="1:12" s="278" customFormat="1" hidden="1">
      <c r="B49" s="490"/>
      <c r="C49" s="483"/>
      <c r="D49" s="490"/>
    </row>
    <row r="50" spans="1:12" s="278" customFormat="1" ht="21" hidden="1" customHeight="1">
      <c r="B50" s="490"/>
      <c r="C50" s="483"/>
      <c r="D50" s="490"/>
    </row>
    <row r="51" spans="1:12" s="278" customFormat="1" hidden="1">
      <c r="B51" s="490"/>
      <c r="C51" s="483"/>
      <c r="D51" s="490"/>
    </row>
    <row r="52" spans="1:12" s="278" customFormat="1" ht="21" hidden="1" customHeight="1">
      <c r="B52" s="490"/>
      <c r="C52" s="483"/>
      <c r="D52" s="490"/>
    </row>
    <row r="53" spans="1:12" s="278" customFormat="1" hidden="1">
      <c r="B53" s="490"/>
      <c r="C53" s="483"/>
      <c r="D53" s="490"/>
    </row>
    <row r="54" spans="1:12" s="278" customFormat="1" ht="21" hidden="1" customHeight="1">
      <c r="B54" s="490"/>
      <c r="C54" s="483"/>
      <c r="D54" s="490"/>
    </row>
    <row r="55" spans="1:12" s="278" customFormat="1" hidden="1">
      <c r="B55" s="490"/>
      <c r="C55" s="483"/>
      <c r="D55" s="490"/>
    </row>
    <row r="56" spans="1:12" s="278" customFormat="1" ht="21" hidden="1" customHeight="1">
      <c r="B56" s="490"/>
      <c r="C56" s="483"/>
      <c r="D56" s="490"/>
    </row>
    <row r="57" spans="1:12" s="278" customFormat="1" hidden="1">
      <c r="B57" s="490"/>
      <c r="C57" s="483"/>
      <c r="D57" s="490"/>
    </row>
    <row r="58" spans="1:12" ht="21" customHeight="1">
      <c r="A58" s="74"/>
      <c r="B58" s="78" t="s">
        <v>613</v>
      </c>
      <c r="C58" s="78" t="s">
        <v>126</v>
      </c>
      <c r="D58" s="78" t="s">
        <v>617</v>
      </c>
      <c r="E58" s="74"/>
      <c r="F58" s="74"/>
      <c r="G58" s="74"/>
      <c r="H58" s="74"/>
      <c r="I58" s="74"/>
    </row>
    <row r="59" spans="1:12">
      <c r="A59" s="74"/>
      <c r="B59" s="303">
        <f>'CSIB_CASABISIRB.MELD'!I484</f>
        <v>0</v>
      </c>
      <c r="C59" s="78"/>
      <c r="D59" s="390">
        <f>'[1]CSIB_OPR.MELD'!$G$14</f>
        <v>0</v>
      </c>
      <c r="E59" s="78"/>
      <c r="F59" s="80">
        <f>ABS(B59-D59)</f>
        <v>0</v>
      </c>
      <c r="G59" s="74"/>
      <c r="H59" s="78">
        <v>1</v>
      </c>
      <c r="I59" s="74">
        <f>IF(F59&gt;H59,1,0)</f>
        <v>0</v>
      </c>
      <c r="L59" s="278"/>
    </row>
    <row r="60" spans="1:12" ht="21" customHeight="1">
      <c r="B60" s="78" t="s">
        <v>614</v>
      </c>
      <c r="C60" s="78" t="s">
        <v>126</v>
      </c>
      <c r="D60" s="78" t="s">
        <v>618</v>
      </c>
      <c r="E60" s="78"/>
      <c r="F60" s="79"/>
      <c r="G60" s="74"/>
      <c r="H60" s="78"/>
      <c r="I60" s="74"/>
      <c r="L60" s="278"/>
    </row>
    <row r="61" spans="1:12">
      <c r="B61" s="303">
        <f>'CSIB_CASABISIRB.MELD'!I485</f>
        <v>0</v>
      </c>
      <c r="C61" s="78"/>
      <c r="D61" s="390">
        <f>'[1]CSIB_OPR.MELD'!$G$16</f>
        <v>0</v>
      </c>
      <c r="E61" s="78"/>
      <c r="F61" s="80">
        <f>ABS(B61-D61)</f>
        <v>0</v>
      </c>
      <c r="G61" s="74"/>
      <c r="H61" s="78">
        <v>1</v>
      </c>
      <c r="I61" s="74">
        <f>IF(F61&gt;H61,1,0)</f>
        <v>0</v>
      </c>
      <c r="L61" s="278"/>
    </row>
    <row r="62" spans="1:12" ht="21" customHeight="1">
      <c r="B62" s="78" t="s">
        <v>615</v>
      </c>
      <c r="C62" s="78" t="s">
        <v>126</v>
      </c>
      <c r="D62" s="78" t="s">
        <v>619</v>
      </c>
      <c r="E62" s="78"/>
      <c r="F62" s="79"/>
      <c r="G62" s="74"/>
      <c r="H62" s="74"/>
      <c r="I62" s="74"/>
    </row>
    <row r="63" spans="1:12">
      <c r="B63" s="303">
        <f>'CSIB_CASABISIRB.MELD'!I486</f>
        <v>0</v>
      </c>
      <c r="C63" s="78"/>
      <c r="D63" s="390">
        <f>'[1]CSIB_OPR.MELD'!$G$27</f>
        <v>0</v>
      </c>
      <c r="E63" s="78"/>
      <c r="F63" s="80">
        <f>ABS(B63-D63)</f>
        <v>0</v>
      </c>
      <c r="G63" s="74"/>
      <c r="H63" s="78">
        <v>1</v>
      </c>
      <c r="I63" s="74">
        <f>IF(F63&gt;H63,1,0)</f>
        <v>0</v>
      </c>
      <c r="L63" s="278"/>
    </row>
    <row r="64" spans="1:12" s="418" customFormat="1" ht="21" customHeight="1">
      <c r="B64" s="78" t="s">
        <v>1293</v>
      </c>
      <c r="C64" s="78" t="s">
        <v>126</v>
      </c>
      <c r="D64" s="78" t="s">
        <v>1297</v>
      </c>
      <c r="E64" s="78"/>
      <c r="F64" s="79"/>
      <c r="G64" s="74"/>
      <c r="H64" s="74"/>
      <c r="I64" s="74"/>
    </row>
    <row r="65" spans="2:9" s="418" customFormat="1">
      <c r="B65" s="303">
        <f>'CSIB_CASABISIRB.MELD'!I456</f>
        <v>0</v>
      </c>
      <c r="C65" s="78"/>
      <c r="D65" s="390">
        <f>SUM('[1]CSIB_CRSEC.MELD'!$Q$11,'[1]CSIB_CRSEC.MELD'!$Q$28)</f>
        <v>0</v>
      </c>
      <c r="E65" s="78"/>
      <c r="F65" s="80">
        <f>ABS(B65-D65)</f>
        <v>0</v>
      </c>
      <c r="G65" s="74"/>
      <c r="H65" s="78">
        <v>1</v>
      </c>
      <c r="I65" s="74">
        <f>IF(F65&gt;H65,1,0)</f>
        <v>0</v>
      </c>
    </row>
    <row r="66" spans="2:9" s="418" customFormat="1" ht="21" customHeight="1">
      <c r="B66" s="78" t="s">
        <v>1294</v>
      </c>
      <c r="C66" s="78" t="s">
        <v>126</v>
      </c>
      <c r="D66" s="78" t="s">
        <v>1298</v>
      </c>
      <c r="E66" s="78"/>
      <c r="F66" s="79"/>
      <c r="G66" s="74"/>
      <c r="H66" s="74"/>
      <c r="I66" s="74"/>
    </row>
    <row r="67" spans="2:9" s="418" customFormat="1">
      <c r="B67" s="303">
        <f>'CSIB_CASABISIRB.MELD'!I457</f>
        <v>0</v>
      </c>
      <c r="C67" s="78"/>
      <c r="D67" s="390">
        <f>SUM('[1]CSIB_CRSEC.MELD'!$R$11,'[1]CSIB_CRSEC.MELD'!$R$28)</f>
        <v>0</v>
      </c>
      <c r="E67" s="78"/>
      <c r="F67" s="80">
        <f>ABS(B67-D67)</f>
        <v>0</v>
      </c>
      <c r="G67" s="74"/>
      <c r="H67" s="78">
        <v>1</v>
      </c>
      <c r="I67" s="74">
        <f>IF(F67&gt;H67,1,0)</f>
        <v>0</v>
      </c>
    </row>
    <row r="68" spans="2:9" s="418" customFormat="1" ht="21" customHeight="1">
      <c r="B68" s="78" t="s">
        <v>1295</v>
      </c>
      <c r="C68" s="78" t="s">
        <v>126</v>
      </c>
      <c r="D68" s="78" t="s">
        <v>1299</v>
      </c>
      <c r="E68" s="78"/>
      <c r="F68" s="79"/>
      <c r="G68" s="74"/>
      <c r="H68" s="74"/>
      <c r="I68" s="74"/>
    </row>
    <row r="69" spans="2:9" s="418" customFormat="1">
      <c r="B69" s="303">
        <f>'CSIB_CASABISIRB.MELD'!I458</f>
        <v>0</v>
      </c>
      <c r="C69" s="78"/>
      <c r="D69" s="390">
        <f>SUM('[1]CSIB_CRSEC.MELD'!$S$11,'[1]CSIB_CRSEC.MELD'!$S$28)</f>
        <v>0</v>
      </c>
      <c r="E69" s="78"/>
      <c r="F69" s="80">
        <f>ABS(B69-D69)</f>
        <v>0</v>
      </c>
      <c r="G69" s="74"/>
      <c r="H69" s="78">
        <v>1</v>
      </c>
      <c r="I69" s="74">
        <f>IF(F69&gt;H69,1,0)</f>
        <v>0</v>
      </c>
    </row>
    <row r="70" spans="2:9" s="418" customFormat="1" ht="21" customHeight="1">
      <c r="B70" s="78" t="s">
        <v>1296</v>
      </c>
      <c r="C70" s="78" t="s">
        <v>126</v>
      </c>
      <c r="D70" s="78" t="s">
        <v>1300</v>
      </c>
      <c r="E70" s="78"/>
      <c r="F70" s="79"/>
      <c r="G70" s="74"/>
      <c r="H70" s="74"/>
      <c r="I70" s="74"/>
    </row>
    <row r="71" spans="2:9" s="418" customFormat="1">
      <c r="B71" s="303">
        <f>'CSIB_CASABISIRB.MELD'!I459</f>
        <v>0</v>
      </c>
      <c r="C71" s="78"/>
      <c r="D71" s="390">
        <f>SUM('[1]CSIB_CRSEC.MELD'!$T$11,'[1]CSIB_CRSEC.MELD'!$T$28)</f>
        <v>0</v>
      </c>
      <c r="E71" s="78"/>
      <c r="F71" s="80">
        <f>ABS(B71-D71)</f>
        <v>0</v>
      </c>
      <c r="G71" s="74"/>
      <c r="H71" s="78">
        <v>1</v>
      </c>
      <c r="I71" s="74">
        <f>IF(F71&gt;H71,1,0)</f>
        <v>0</v>
      </c>
    </row>
  </sheetData>
  <customSheetViews>
    <customSheetView guid="{4435029F-2F1B-45E2-BFDE-13E66716A0E9}" scale="80" showGridLines="0" showRowCol="0" zeroValues="0" hiddenRows="1">
      <selection activeCell="H2" sqref="H2"/>
      <rowBreaks count="1" manualBreakCount="1">
        <brk id="23" max="16383" man="1"/>
      </rowBreaks>
      <pageMargins left="0.78740157499999996" right="0.78740157499999996" top="0.984251969" bottom="0.984251969" header="0.4921259845" footer="0.4921259845"/>
      <pageSetup paperSize="9" scale="59" orientation="portrait" r:id="rId1"/>
      <headerFooter alignWithMargins="0">
        <oddFooter>&amp;L&amp;"Arial,Standard"&amp;D,&amp;T&amp;R&amp;"Arial,Standard"&amp;P/&amp;N</oddFooter>
      </headerFooter>
    </customSheetView>
  </customSheetViews>
  <phoneticPr fontId="10" type="noConversion"/>
  <pageMargins left="0.78740157499999996" right="0.78740157499999996" top="0.984251969" bottom="0.984251969" header="0.4921259845" footer="0.4921259845"/>
  <pageSetup paperSize="9" scale="59" orientation="portrait" r:id="rId2"/>
  <headerFooter alignWithMargins="0">
    <oddFooter>&amp;L&amp;"Arial,Standard"&amp;D,&amp;T&amp;R&amp;"Arial,Standard"&amp;P/&amp;N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51"/>
  <sheetViews>
    <sheetView showGridLines="0" showRowColHeaders="0" zoomScale="80" zoomScaleNormal="80" zoomScaleSheetLayoutView="80" workbookViewId="0">
      <selection activeCell="I15" sqref="I15"/>
    </sheetView>
  </sheetViews>
  <sheetFormatPr baseColWidth="10" defaultColWidth="13.28515625" defaultRowHeight="12.75"/>
  <cols>
    <col min="1" max="1" width="15" style="253" customWidth="1"/>
    <col min="2" max="2" width="32.5703125" style="460" customWidth="1"/>
    <col min="3" max="3" width="13.140625" style="460" customWidth="1"/>
    <col min="4" max="4" width="17.28515625" style="460" customWidth="1"/>
    <col min="5" max="5" width="10.85546875" style="460" customWidth="1"/>
    <col min="6" max="6" width="15.85546875" style="460" customWidth="1"/>
    <col min="7" max="7" width="43.28515625" style="460" customWidth="1"/>
    <col min="8" max="8" width="1.85546875" style="460" customWidth="1"/>
    <col min="9" max="9" width="21.7109375" style="460" customWidth="1"/>
    <col min="10" max="10" width="5.7109375" style="460" customWidth="1"/>
    <col min="11" max="11" width="13" style="460" customWidth="1"/>
    <col min="12" max="12" width="13.28515625" style="284"/>
    <col min="13" max="13" width="4.7109375" style="490" customWidth="1"/>
    <col min="14" max="14" width="60" style="460" customWidth="1"/>
    <col min="15" max="20" width="10" style="460" customWidth="1"/>
    <col min="21" max="16384" width="13.28515625" style="460"/>
  </cols>
  <sheetData>
    <row r="1" spans="1:16" ht="20.25" customHeight="1">
      <c r="H1" s="126" t="s">
        <v>61</v>
      </c>
      <c r="I1" s="300" t="s">
        <v>602</v>
      </c>
    </row>
    <row r="2" spans="1:16" ht="20.25" customHeight="1">
      <c r="A2" s="251"/>
      <c r="B2" s="6"/>
      <c r="H2" s="126" t="s">
        <v>1224</v>
      </c>
      <c r="I2" s="301" t="str">
        <f>'Delivery note'!H3</f>
        <v>XXXXXX</v>
      </c>
    </row>
    <row r="3" spans="1:16" ht="20.25" customHeight="1">
      <c r="D3" s="664" t="s">
        <v>459</v>
      </c>
      <c r="E3" s="664"/>
      <c r="F3" s="664"/>
      <c r="H3" s="126" t="s">
        <v>546</v>
      </c>
      <c r="I3" s="302" t="str">
        <f>'Delivery note'!H4</f>
        <v>DD.MM.YYYY</v>
      </c>
    </row>
    <row r="4" spans="1:16" ht="18" customHeight="1">
      <c r="A4" s="251"/>
      <c r="C4" s="60"/>
      <c r="D4" s="665" t="s">
        <v>620</v>
      </c>
      <c r="E4" s="665"/>
      <c r="F4" s="665"/>
      <c r="G4" s="392"/>
    </row>
    <row r="5" spans="1:16" ht="18">
      <c r="A5" s="393"/>
      <c r="B5" s="460" t="s">
        <v>1225</v>
      </c>
      <c r="C5" s="24"/>
      <c r="D5" s="666" t="s">
        <v>1793</v>
      </c>
      <c r="E5" s="666"/>
      <c r="F5" s="666"/>
      <c r="I5" s="298"/>
    </row>
    <row r="6" spans="1:16" ht="15.75" customHeight="1">
      <c r="A6" s="394"/>
      <c r="B6" s="460" t="s">
        <v>1226</v>
      </c>
      <c r="D6" s="667" t="s">
        <v>6</v>
      </c>
      <c r="E6" s="667"/>
      <c r="F6" s="667"/>
      <c r="G6" s="102"/>
      <c r="H6" s="102"/>
      <c r="I6" s="102"/>
    </row>
    <row r="7" spans="1:16">
      <c r="A7" s="394"/>
      <c r="B7" s="460" t="s">
        <v>1227</v>
      </c>
      <c r="G7" s="102"/>
      <c r="H7" s="102"/>
    </row>
    <row r="8" spans="1:16" ht="12.75" customHeight="1">
      <c r="B8" s="246"/>
      <c r="C8" s="130"/>
      <c r="J8" s="8"/>
      <c r="K8" s="6"/>
      <c r="L8" s="285"/>
      <c r="N8" s="6"/>
    </row>
    <row r="9" spans="1:16" ht="18" customHeight="1">
      <c r="A9" s="254"/>
      <c r="B9" s="492" t="s">
        <v>62</v>
      </c>
      <c r="C9" s="131"/>
      <c r="D9" s="492"/>
      <c r="E9" s="492"/>
      <c r="F9" s="492"/>
      <c r="G9" s="492"/>
      <c r="H9" s="132"/>
      <c r="I9" s="262" t="s">
        <v>154</v>
      </c>
      <c r="J9" s="151"/>
      <c r="K9" s="5"/>
      <c r="L9" s="489" t="s">
        <v>535</v>
      </c>
    </row>
    <row r="10" spans="1:16" ht="23.25" customHeight="1">
      <c r="A10" s="255"/>
      <c r="B10" s="8"/>
      <c r="C10" s="8"/>
      <c r="D10" s="8"/>
      <c r="E10" s="8"/>
      <c r="F10" s="8"/>
      <c r="G10" s="75"/>
      <c r="H10" s="133"/>
      <c r="I10" s="242" t="s">
        <v>95</v>
      </c>
      <c r="J10" s="153"/>
      <c r="K10" s="263"/>
      <c r="L10" s="285"/>
    </row>
    <row r="11" spans="1:16" ht="6" customHeight="1">
      <c r="A11" s="251"/>
      <c r="G11" s="492"/>
      <c r="H11" s="134"/>
      <c r="I11" s="135"/>
      <c r="J11" s="280"/>
      <c r="K11" s="5"/>
      <c r="L11" s="285"/>
    </row>
    <row r="12" spans="1:16" ht="33.950000000000003" customHeight="1" thickBot="1">
      <c r="A12" s="264" t="s">
        <v>373</v>
      </c>
      <c r="B12" s="602" t="s">
        <v>318</v>
      </c>
      <c r="C12" s="602"/>
      <c r="D12" s="602"/>
      <c r="E12" s="602"/>
      <c r="F12" s="602"/>
      <c r="G12" s="602"/>
      <c r="H12" s="134"/>
      <c r="I12" s="279">
        <f>I382</f>
        <v>0</v>
      </c>
      <c r="J12" s="494">
        <v>1</v>
      </c>
      <c r="K12" s="5"/>
      <c r="L12" s="286" t="str">
        <f>IF(I12&gt;0,"OK","ERROR")</f>
        <v>ERROR</v>
      </c>
    </row>
    <row r="13" spans="1:16" ht="33" customHeight="1" thickTop="1" thickBot="1">
      <c r="A13" s="265" t="s">
        <v>374</v>
      </c>
      <c r="B13" s="668" t="s">
        <v>370</v>
      </c>
      <c r="C13" s="668"/>
      <c r="D13" s="668"/>
      <c r="E13" s="668"/>
      <c r="F13" s="668"/>
      <c r="G13" s="668"/>
      <c r="H13" s="134"/>
      <c r="I13" s="279">
        <f>I382</f>
        <v>0</v>
      </c>
      <c r="J13" s="280">
        <v>2</v>
      </c>
      <c r="K13" s="5"/>
      <c r="L13" s="286" t="str">
        <f>IF(I13&gt;0,"OK","ERROR")</f>
        <v>ERROR</v>
      </c>
    </row>
    <row r="14" spans="1:16" ht="33" customHeight="1" thickTop="1" thickBot="1">
      <c r="A14" s="270" t="s">
        <v>375</v>
      </c>
      <c r="B14" s="663" t="s">
        <v>533</v>
      </c>
      <c r="C14" s="663"/>
      <c r="D14" s="663"/>
      <c r="E14" s="663"/>
      <c r="F14" s="663"/>
      <c r="G14" s="663"/>
      <c r="H14" s="134"/>
      <c r="I14" s="279">
        <f>I368</f>
        <v>0</v>
      </c>
      <c r="J14" s="494">
        <v>240</v>
      </c>
      <c r="K14" s="5"/>
      <c r="L14" s="286" t="str">
        <f>IF(I14&gt;0,"OK","ERROR")</f>
        <v>ERROR</v>
      </c>
    </row>
    <row r="15" spans="1:16" ht="17.25" customHeight="1" thickTop="1">
      <c r="A15" s="250" t="s">
        <v>63</v>
      </c>
      <c r="B15" s="589" t="s">
        <v>444</v>
      </c>
      <c r="C15" s="510"/>
      <c r="D15" s="510"/>
      <c r="E15" s="510"/>
      <c r="F15" s="510"/>
      <c r="G15" s="510"/>
      <c r="H15" s="134"/>
      <c r="I15" s="14"/>
      <c r="J15" s="494">
        <v>241</v>
      </c>
      <c r="K15" s="5"/>
      <c r="L15" s="286" t="str">
        <f t="shared" ref="L15:L37" si="0">IF(I15&gt;=0,"OK","ERROR")</f>
        <v>OK</v>
      </c>
    </row>
    <row r="16" spans="1:16" ht="17.25" customHeight="1">
      <c r="A16" s="345" t="s">
        <v>1441</v>
      </c>
      <c r="B16" s="582" t="s">
        <v>1442</v>
      </c>
      <c r="C16" s="582"/>
      <c r="D16" s="582"/>
      <c r="E16" s="582"/>
      <c r="F16" s="582"/>
      <c r="G16" s="582"/>
      <c r="H16" s="181"/>
      <c r="I16" s="186"/>
      <c r="J16" s="280">
        <v>1402</v>
      </c>
      <c r="L16" s="490"/>
      <c r="P16" s="461"/>
    </row>
    <row r="17" spans="1:15" ht="28.5" customHeight="1">
      <c r="A17" s="266" t="s">
        <v>376</v>
      </c>
      <c r="B17" s="589" t="s">
        <v>369</v>
      </c>
      <c r="C17" s="510"/>
      <c r="D17" s="510"/>
      <c r="E17" s="510"/>
      <c r="F17" s="510"/>
      <c r="G17" s="510"/>
      <c r="H17" s="134"/>
      <c r="I17" s="14"/>
      <c r="J17" s="494">
        <v>242</v>
      </c>
      <c r="K17" s="5"/>
      <c r="L17" s="490"/>
    </row>
    <row r="18" spans="1:15" s="249" customFormat="1" ht="33" customHeight="1" thickBot="1">
      <c r="A18" s="274" t="s">
        <v>64</v>
      </c>
      <c r="B18" s="655" t="s">
        <v>461</v>
      </c>
      <c r="C18" s="656"/>
      <c r="D18" s="656"/>
      <c r="E18" s="656"/>
      <c r="F18" s="656"/>
      <c r="G18" s="656"/>
      <c r="H18" s="247"/>
      <c r="I18" s="279">
        <f>I15+I16+I17</f>
        <v>0</v>
      </c>
      <c r="J18" s="495">
        <v>243</v>
      </c>
      <c r="K18" s="248"/>
      <c r="L18" s="286" t="str">
        <f t="shared" si="0"/>
        <v>OK</v>
      </c>
      <c r="M18" s="490"/>
      <c r="O18" s="460"/>
    </row>
    <row r="19" spans="1:15" ht="17.25" customHeight="1" thickTop="1">
      <c r="A19" s="266" t="s">
        <v>1302</v>
      </c>
      <c r="B19" s="583" t="s">
        <v>1303</v>
      </c>
      <c r="C19" s="594"/>
      <c r="D19" s="594"/>
      <c r="E19" s="594"/>
      <c r="F19" s="594"/>
      <c r="G19" s="594"/>
      <c r="H19" s="134"/>
      <c r="I19" s="14"/>
      <c r="J19" s="494">
        <v>244</v>
      </c>
      <c r="K19" s="5"/>
      <c r="L19" s="490"/>
    </row>
    <row r="20" spans="1:15" ht="28.5" customHeight="1">
      <c r="A20" s="267" t="s">
        <v>377</v>
      </c>
      <c r="B20" s="589" t="s">
        <v>1443</v>
      </c>
      <c r="C20" s="510"/>
      <c r="D20" s="510"/>
      <c r="E20" s="510"/>
      <c r="F20" s="510"/>
      <c r="G20" s="510"/>
      <c r="H20" s="134"/>
      <c r="I20" s="14"/>
      <c r="J20" s="494">
        <v>245</v>
      </c>
      <c r="K20" s="5"/>
      <c r="L20" s="286" t="str">
        <f>IF(I20&lt;=0,"OK","ERROR")</f>
        <v>OK</v>
      </c>
    </row>
    <row r="21" spans="1:15" ht="17.25" customHeight="1">
      <c r="A21" s="259" t="s">
        <v>278</v>
      </c>
      <c r="B21" s="589" t="s">
        <v>362</v>
      </c>
      <c r="C21" s="510"/>
      <c r="D21" s="510"/>
      <c r="E21" s="510"/>
      <c r="F21" s="510"/>
      <c r="G21" s="510"/>
      <c r="H21" s="134"/>
      <c r="I21" s="14"/>
      <c r="J21" s="494">
        <v>246</v>
      </c>
      <c r="K21" s="5"/>
      <c r="L21" s="286" t="str">
        <f>IF(I21&lt;=0,"OK","ERROR")</f>
        <v>OK</v>
      </c>
    </row>
    <row r="22" spans="1:15" ht="17.25" customHeight="1">
      <c r="A22" s="259" t="s">
        <v>279</v>
      </c>
      <c r="B22" s="590" t="s">
        <v>460</v>
      </c>
      <c r="C22" s="590"/>
      <c r="D22" s="590"/>
      <c r="E22" s="590"/>
      <c r="F22" s="590"/>
      <c r="G22" s="590"/>
      <c r="H22" s="134"/>
      <c r="I22" s="14"/>
      <c r="J22" s="494">
        <v>247</v>
      </c>
      <c r="K22" s="275"/>
      <c r="L22" s="286" t="str">
        <f>IF(I22&lt;=0,"OK","ERROR")</f>
        <v>OK</v>
      </c>
    </row>
    <row r="23" spans="1:15" ht="33" customHeight="1" thickBot="1">
      <c r="A23" s="276" t="s">
        <v>280</v>
      </c>
      <c r="B23" s="655" t="s">
        <v>319</v>
      </c>
      <c r="C23" s="656"/>
      <c r="D23" s="656"/>
      <c r="E23" s="656"/>
      <c r="F23" s="656"/>
      <c r="G23" s="656"/>
      <c r="H23" s="134"/>
      <c r="I23" s="279">
        <f>I18+I19+I20+I21+I22</f>
        <v>0</v>
      </c>
      <c r="J23" s="494">
        <v>248</v>
      </c>
      <c r="K23" s="5"/>
      <c r="L23" s="286" t="str">
        <f>IF(I23&gt;=SUM(I25:I34),"OK","ERROR")</f>
        <v>OK</v>
      </c>
    </row>
    <row r="24" spans="1:15" ht="17.25" customHeight="1" thickTop="1">
      <c r="A24" s="259"/>
      <c r="B24" s="616" t="s">
        <v>324</v>
      </c>
      <c r="C24" s="616"/>
      <c r="D24" s="616"/>
      <c r="E24" s="616"/>
      <c r="F24" s="616"/>
      <c r="G24" s="616"/>
      <c r="H24" s="134"/>
      <c r="I24" s="258"/>
      <c r="J24" s="494"/>
      <c r="K24" s="5"/>
    </row>
    <row r="25" spans="1:15" ht="28.5" customHeight="1">
      <c r="A25" s="267" t="s">
        <v>378</v>
      </c>
      <c r="B25" s="588" t="s">
        <v>1444</v>
      </c>
      <c r="C25" s="515"/>
      <c r="D25" s="515"/>
      <c r="E25" s="515"/>
      <c r="F25" s="515"/>
      <c r="G25" s="515"/>
      <c r="H25" s="134"/>
      <c r="I25" s="14"/>
      <c r="J25" s="494">
        <v>249</v>
      </c>
      <c r="K25" s="5"/>
      <c r="L25" s="286" t="str">
        <f t="shared" si="0"/>
        <v>OK</v>
      </c>
    </row>
    <row r="26" spans="1:15" ht="28.5" customHeight="1">
      <c r="A26" s="267" t="s">
        <v>379</v>
      </c>
      <c r="B26" s="589" t="s">
        <v>1445</v>
      </c>
      <c r="C26" s="510"/>
      <c r="D26" s="510"/>
      <c r="E26" s="510"/>
      <c r="F26" s="510"/>
      <c r="G26" s="510"/>
      <c r="H26" s="134"/>
      <c r="I26" s="14"/>
      <c r="J26" s="494">
        <v>250</v>
      </c>
      <c r="K26" s="5"/>
      <c r="L26" s="286" t="str">
        <f t="shared" si="0"/>
        <v>OK</v>
      </c>
    </row>
    <row r="27" spans="1:15" ht="28.5" customHeight="1">
      <c r="A27" s="267" t="s">
        <v>380</v>
      </c>
      <c r="B27" s="589" t="s">
        <v>1446</v>
      </c>
      <c r="C27" s="510"/>
      <c r="D27" s="510"/>
      <c r="E27" s="510"/>
      <c r="F27" s="510"/>
      <c r="G27" s="510"/>
      <c r="H27" s="134"/>
      <c r="I27" s="14"/>
      <c r="J27" s="494">
        <v>251</v>
      </c>
      <c r="K27" s="5"/>
      <c r="L27" s="286" t="str">
        <f t="shared" si="0"/>
        <v>OK</v>
      </c>
    </row>
    <row r="28" spans="1:15" ht="15.75" customHeight="1">
      <c r="A28" s="259" t="s">
        <v>474</v>
      </c>
      <c r="B28" s="589" t="s">
        <v>320</v>
      </c>
      <c r="C28" s="510"/>
      <c r="D28" s="510"/>
      <c r="E28" s="510"/>
      <c r="F28" s="510"/>
      <c r="G28" s="510"/>
      <c r="H28" s="134"/>
      <c r="I28" s="14"/>
      <c r="J28" s="494">
        <v>252</v>
      </c>
      <c r="K28" s="5"/>
      <c r="L28" s="286" t="str">
        <f t="shared" si="0"/>
        <v>OK</v>
      </c>
    </row>
    <row r="29" spans="1:15" ht="28.5" customHeight="1">
      <c r="A29" s="267" t="s">
        <v>381</v>
      </c>
      <c r="B29" s="589" t="s">
        <v>1447</v>
      </c>
      <c r="C29" s="510"/>
      <c r="D29" s="510"/>
      <c r="E29" s="510"/>
      <c r="F29" s="510"/>
      <c r="G29" s="510"/>
      <c r="H29" s="134"/>
      <c r="I29" s="14"/>
      <c r="J29" s="494">
        <v>253</v>
      </c>
      <c r="K29" s="5"/>
      <c r="L29" s="286" t="str">
        <f t="shared" si="0"/>
        <v>OK</v>
      </c>
    </row>
    <row r="30" spans="1:15" ht="28.5" customHeight="1">
      <c r="A30" s="267" t="s">
        <v>382</v>
      </c>
      <c r="B30" s="589" t="s">
        <v>1448</v>
      </c>
      <c r="C30" s="510"/>
      <c r="D30" s="510"/>
      <c r="E30" s="510"/>
      <c r="F30" s="510"/>
      <c r="G30" s="510"/>
      <c r="H30" s="134"/>
      <c r="I30" s="14"/>
      <c r="J30" s="494">
        <v>254</v>
      </c>
      <c r="K30" s="5"/>
      <c r="L30" s="490"/>
    </row>
    <row r="31" spans="1:15" ht="28.5" customHeight="1">
      <c r="A31" s="267" t="s">
        <v>475</v>
      </c>
      <c r="B31" s="589" t="s">
        <v>1449</v>
      </c>
      <c r="C31" s="510"/>
      <c r="D31" s="510"/>
      <c r="E31" s="510"/>
      <c r="F31" s="510"/>
      <c r="G31" s="510"/>
      <c r="H31" s="134"/>
      <c r="I31" s="14"/>
      <c r="J31" s="494">
        <v>255</v>
      </c>
      <c r="K31" s="5"/>
      <c r="L31" s="286" t="str">
        <f t="shared" si="0"/>
        <v>OK</v>
      </c>
    </row>
    <row r="32" spans="1:15" ht="28.5" customHeight="1">
      <c r="A32" s="267" t="s">
        <v>476</v>
      </c>
      <c r="B32" s="589" t="s">
        <v>1450</v>
      </c>
      <c r="C32" s="510"/>
      <c r="D32" s="510"/>
      <c r="E32" s="510"/>
      <c r="F32" s="510"/>
      <c r="G32" s="510"/>
      <c r="H32" s="134"/>
      <c r="I32" s="14"/>
      <c r="J32" s="494">
        <v>256</v>
      </c>
      <c r="K32" s="5"/>
      <c r="L32" s="490"/>
    </row>
    <row r="33" spans="1:12" ht="28.5" customHeight="1">
      <c r="A33" s="267" t="s">
        <v>477</v>
      </c>
      <c r="B33" s="589" t="s">
        <v>1451</v>
      </c>
      <c r="C33" s="510"/>
      <c r="D33" s="510"/>
      <c r="E33" s="510"/>
      <c r="F33" s="510"/>
      <c r="G33" s="510"/>
      <c r="H33" s="134"/>
      <c r="I33" s="14"/>
      <c r="J33" s="494">
        <v>257</v>
      </c>
      <c r="K33" s="5"/>
      <c r="L33" s="490"/>
    </row>
    <row r="34" spans="1:12" ht="28.5" customHeight="1">
      <c r="A34" s="267" t="s">
        <v>478</v>
      </c>
      <c r="B34" s="589" t="s">
        <v>1452</v>
      </c>
      <c r="C34" s="510"/>
      <c r="D34" s="510"/>
      <c r="E34" s="510"/>
      <c r="F34" s="510"/>
      <c r="G34" s="510"/>
      <c r="H34" s="134"/>
      <c r="I34" s="14"/>
      <c r="J34" s="494">
        <v>258</v>
      </c>
      <c r="K34" s="141"/>
      <c r="L34" s="490"/>
    </row>
    <row r="35" spans="1:12" ht="33" customHeight="1">
      <c r="A35" s="276" t="s">
        <v>281</v>
      </c>
      <c r="B35" s="661" t="s">
        <v>421</v>
      </c>
      <c r="C35" s="662"/>
      <c r="D35" s="662"/>
      <c r="E35" s="662"/>
      <c r="F35" s="662"/>
      <c r="G35" s="662"/>
      <c r="H35" s="134"/>
      <c r="I35" s="258"/>
      <c r="J35" s="494"/>
      <c r="K35" s="141"/>
    </row>
    <row r="36" spans="1:12" ht="28.5" customHeight="1">
      <c r="A36" s="267" t="s">
        <v>383</v>
      </c>
      <c r="B36" s="588" t="s">
        <v>1453</v>
      </c>
      <c r="C36" s="515"/>
      <c r="D36" s="515"/>
      <c r="E36" s="515"/>
      <c r="F36" s="515"/>
      <c r="G36" s="515"/>
      <c r="H36" s="134"/>
      <c r="I36" s="14"/>
      <c r="J36" s="494">
        <v>259</v>
      </c>
      <c r="K36" s="141"/>
      <c r="L36" s="286" t="str">
        <f t="shared" si="0"/>
        <v>OK</v>
      </c>
    </row>
    <row r="37" spans="1:12" ht="28.5" customHeight="1">
      <c r="A37" s="267" t="s">
        <v>479</v>
      </c>
      <c r="B37" s="589" t="s">
        <v>1454</v>
      </c>
      <c r="C37" s="510"/>
      <c r="D37" s="510"/>
      <c r="E37" s="510"/>
      <c r="F37" s="510"/>
      <c r="G37" s="510"/>
      <c r="H37" s="134"/>
      <c r="I37" s="14"/>
      <c r="J37" s="494">
        <v>260</v>
      </c>
      <c r="K37" s="5"/>
      <c r="L37" s="286" t="str">
        <f t="shared" si="0"/>
        <v>OK</v>
      </c>
    </row>
    <row r="38" spans="1:12" ht="28.5" customHeight="1">
      <c r="A38" s="268" t="s">
        <v>480</v>
      </c>
      <c r="B38" s="589" t="s">
        <v>1455</v>
      </c>
      <c r="C38" s="510"/>
      <c r="D38" s="510"/>
      <c r="E38" s="510"/>
      <c r="F38" s="510"/>
      <c r="G38" s="510"/>
      <c r="H38" s="181"/>
      <c r="I38" s="186"/>
      <c r="J38" s="494">
        <v>263</v>
      </c>
      <c r="K38" s="490"/>
      <c r="L38" s="286" t="str">
        <f>IF(I38&lt;=0,"OK","ERROR")</f>
        <v>OK</v>
      </c>
    </row>
    <row r="39" spans="1:12" ht="28.5" customHeight="1">
      <c r="A39" s="268" t="s">
        <v>481</v>
      </c>
      <c r="B39" s="589" t="s">
        <v>1456</v>
      </c>
      <c r="C39" s="510"/>
      <c r="D39" s="510"/>
      <c r="E39" s="510"/>
      <c r="F39" s="510"/>
      <c r="G39" s="510"/>
      <c r="H39" s="181"/>
      <c r="I39" s="186"/>
      <c r="J39" s="494">
        <v>264</v>
      </c>
      <c r="K39" s="490"/>
      <c r="L39" s="286" t="str">
        <f>IF(I39&lt;=0,"OK","ERROR")</f>
        <v>OK</v>
      </c>
    </row>
    <row r="40" spans="1:12" ht="6" customHeight="1">
      <c r="A40" s="261"/>
      <c r="B40" s="615"/>
      <c r="C40" s="615"/>
      <c r="D40" s="615"/>
      <c r="E40" s="615"/>
      <c r="F40" s="615"/>
      <c r="G40" s="615"/>
      <c r="H40" s="8"/>
      <c r="I40" s="277"/>
      <c r="J40" s="496"/>
      <c r="K40" s="211"/>
      <c r="L40" s="285"/>
    </row>
    <row r="41" spans="1:12" ht="6" customHeight="1">
      <c r="A41" s="259"/>
      <c r="B41" s="527"/>
      <c r="C41" s="527"/>
      <c r="D41" s="527"/>
      <c r="E41" s="527"/>
      <c r="F41" s="527"/>
      <c r="G41" s="527"/>
      <c r="H41" s="134"/>
      <c r="I41" s="135"/>
      <c r="J41" s="494"/>
      <c r="K41" s="5"/>
      <c r="L41" s="285"/>
    </row>
    <row r="42" spans="1:12" ht="33" customHeight="1">
      <c r="A42" s="271" t="s">
        <v>482</v>
      </c>
      <c r="B42" s="657" t="s">
        <v>1457</v>
      </c>
      <c r="C42" s="658"/>
      <c r="D42" s="658"/>
      <c r="E42" s="658"/>
      <c r="F42" s="658"/>
      <c r="G42" s="658"/>
      <c r="H42" s="181"/>
      <c r="I42" s="224"/>
      <c r="J42" s="494"/>
      <c r="K42" s="490"/>
    </row>
    <row r="43" spans="1:12" ht="17.25" customHeight="1">
      <c r="A43" s="260" t="s">
        <v>483</v>
      </c>
      <c r="B43" s="579" t="s">
        <v>1304</v>
      </c>
      <c r="C43" s="593"/>
      <c r="D43" s="593"/>
      <c r="E43" s="593"/>
      <c r="F43" s="593"/>
      <c r="G43" s="593"/>
      <c r="H43" s="181"/>
      <c r="I43" s="186"/>
      <c r="J43" s="494">
        <v>265</v>
      </c>
      <c r="K43" s="490"/>
      <c r="L43" s="286" t="str">
        <f t="shared" ref="L43:L73" si="1">IF(I43&lt;=0,"OK","ERROR")</f>
        <v>OK</v>
      </c>
    </row>
    <row r="44" spans="1:12" ht="17.25" customHeight="1">
      <c r="A44" s="260" t="s">
        <v>484</v>
      </c>
      <c r="B44" s="583" t="s">
        <v>1305</v>
      </c>
      <c r="C44" s="594"/>
      <c r="D44" s="594"/>
      <c r="E44" s="594"/>
      <c r="F44" s="594"/>
      <c r="G44" s="594"/>
      <c r="H44" s="181"/>
      <c r="I44" s="186"/>
      <c r="J44" s="494">
        <v>266</v>
      </c>
      <c r="K44" s="490"/>
      <c r="L44" s="286" t="str">
        <f t="shared" si="1"/>
        <v>OK</v>
      </c>
    </row>
    <row r="45" spans="1:12" ht="17.25" customHeight="1">
      <c r="A45" s="260" t="s">
        <v>485</v>
      </c>
      <c r="B45" s="583" t="s">
        <v>1306</v>
      </c>
      <c r="C45" s="594"/>
      <c r="D45" s="594"/>
      <c r="E45" s="594"/>
      <c r="F45" s="594"/>
      <c r="G45" s="594"/>
      <c r="H45" s="181"/>
      <c r="I45" s="186"/>
      <c r="J45" s="494">
        <v>267</v>
      </c>
      <c r="K45" s="490"/>
      <c r="L45" s="286" t="str">
        <f t="shared" si="1"/>
        <v>OK</v>
      </c>
    </row>
    <row r="46" spans="1:12" ht="17.25" customHeight="1">
      <c r="A46" s="260" t="s">
        <v>462</v>
      </c>
      <c r="B46" s="589" t="s">
        <v>463</v>
      </c>
      <c r="C46" s="510"/>
      <c r="D46" s="510"/>
      <c r="E46" s="510"/>
      <c r="F46" s="510"/>
      <c r="G46" s="510"/>
      <c r="H46" s="181"/>
      <c r="I46" s="186"/>
      <c r="J46" s="494">
        <v>268</v>
      </c>
      <c r="K46" s="490"/>
      <c r="L46" s="286" t="str">
        <f>IF(I46&gt;=0,"OK","ERROR")</f>
        <v>OK</v>
      </c>
    </row>
    <row r="47" spans="1:12" ht="17.25" customHeight="1">
      <c r="A47" s="260" t="s">
        <v>464</v>
      </c>
      <c r="B47" s="589" t="s">
        <v>465</v>
      </c>
      <c r="C47" s="589"/>
      <c r="D47" s="589"/>
      <c r="E47" s="589"/>
      <c r="F47" s="589"/>
      <c r="G47" s="589"/>
      <c r="H47" s="181"/>
      <c r="I47" s="186"/>
      <c r="J47" s="494">
        <v>270</v>
      </c>
      <c r="K47" s="490"/>
      <c r="L47" s="286" t="str">
        <f>IF(I47&lt;=0,"OK","ERROR")</f>
        <v>OK</v>
      </c>
    </row>
    <row r="48" spans="1:12" ht="17.25" customHeight="1">
      <c r="A48" s="260" t="s">
        <v>466</v>
      </c>
      <c r="B48" s="589" t="s">
        <v>467</v>
      </c>
      <c r="C48" s="589"/>
      <c r="D48" s="589"/>
      <c r="E48" s="589"/>
      <c r="F48" s="589"/>
      <c r="G48" s="589"/>
      <c r="H48" s="181"/>
      <c r="I48" s="186"/>
      <c r="J48" s="494">
        <v>272</v>
      </c>
      <c r="K48" s="490"/>
      <c r="L48" s="286" t="str">
        <f>IF(I48&gt;=0,"OK","ERROR")</f>
        <v>OK</v>
      </c>
    </row>
    <row r="49" spans="1:12" ht="17.25" customHeight="1">
      <c r="A49" s="260" t="s">
        <v>468</v>
      </c>
      <c r="B49" s="589" t="s">
        <v>469</v>
      </c>
      <c r="C49" s="589"/>
      <c r="D49" s="589"/>
      <c r="E49" s="589"/>
      <c r="F49" s="589"/>
      <c r="G49" s="589"/>
      <c r="H49" s="181"/>
      <c r="I49" s="186"/>
      <c r="J49" s="494">
        <v>274</v>
      </c>
      <c r="K49" s="490"/>
      <c r="L49" s="286" t="str">
        <f t="shared" si="1"/>
        <v>OK</v>
      </c>
    </row>
    <row r="50" spans="1:12" ht="17.25" customHeight="1">
      <c r="A50" s="260" t="s">
        <v>486</v>
      </c>
      <c r="B50" s="589" t="s">
        <v>363</v>
      </c>
      <c r="C50" s="510"/>
      <c r="D50" s="510"/>
      <c r="E50" s="510"/>
      <c r="F50" s="510"/>
      <c r="G50" s="510"/>
      <c r="H50" s="181"/>
      <c r="I50" s="186"/>
      <c r="J50" s="494">
        <v>276</v>
      </c>
      <c r="K50" s="490"/>
      <c r="L50" s="286" t="str">
        <f t="shared" si="1"/>
        <v>OK</v>
      </c>
    </row>
    <row r="51" spans="1:12" ht="17.25" customHeight="1">
      <c r="A51" s="260" t="s">
        <v>487</v>
      </c>
      <c r="B51" s="589" t="s">
        <v>364</v>
      </c>
      <c r="C51" s="510"/>
      <c r="D51" s="510"/>
      <c r="E51" s="510"/>
      <c r="F51" s="510"/>
      <c r="G51" s="510"/>
      <c r="H51" s="181"/>
      <c r="I51" s="186"/>
      <c r="J51" s="494">
        <v>277</v>
      </c>
      <c r="K51" s="490"/>
      <c r="L51" s="286" t="str">
        <f t="shared" si="1"/>
        <v>OK</v>
      </c>
    </row>
    <row r="52" spans="1:12" ht="17.25" customHeight="1">
      <c r="A52" s="260" t="s">
        <v>488</v>
      </c>
      <c r="B52" s="589" t="s">
        <v>365</v>
      </c>
      <c r="C52" s="510"/>
      <c r="D52" s="510"/>
      <c r="E52" s="510"/>
      <c r="F52" s="510"/>
      <c r="G52" s="510"/>
      <c r="H52" s="181"/>
      <c r="I52" s="186"/>
      <c r="J52" s="494">
        <v>278</v>
      </c>
      <c r="K52" s="490"/>
      <c r="L52" s="286" t="str">
        <f t="shared" si="1"/>
        <v>OK</v>
      </c>
    </row>
    <row r="53" spans="1:12" ht="17.25" customHeight="1">
      <c r="A53" s="260" t="s">
        <v>470</v>
      </c>
      <c r="B53" s="589" t="s">
        <v>471</v>
      </c>
      <c r="C53" s="510"/>
      <c r="D53" s="510"/>
      <c r="E53" s="510"/>
      <c r="F53" s="510"/>
      <c r="G53" s="510"/>
      <c r="H53" s="181"/>
      <c r="I53" s="186"/>
      <c r="J53" s="494">
        <v>279</v>
      </c>
      <c r="K53" s="490"/>
      <c r="L53" s="286" t="str">
        <f>IF(I53&gt;=0,"OK","ERROR")</f>
        <v>OK</v>
      </c>
    </row>
    <row r="54" spans="1:12" ht="17.25" customHeight="1">
      <c r="A54" s="260" t="s">
        <v>472</v>
      </c>
      <c r="B54" s="589" t="s">
        <v>473</v>
      </c>
      <c r="C54" s="589"/>
      <c r="D54" s="589"/>
      <c r="E54" s="589"/>
      <c r="F54" s="589"/>
      <c r="G54" s="589"/>
      <c r="H54" s="181"/>
      <c r="I54" s="186"/>
      <c r="J54" s="494">
        <v>281</v>
      </c>
      <c r="K54" s="490"/>
      <c r="L54" s="286" t="str">
        <f t="shared" si="1"/>
        <v>OK</v>
      </c>
    </row>
    <row r="55" spans="1:12" ht="17.25" customHeight="1">
      <c r="A55" s="260" t="s">
        <v>1307</v>
      </c>
      <c r="B55" s="583" t="s">
        <v>1308</v>
      </c>
      <c r="C55" s="583"/>
      <c r="D55" s="583"/>
      <c r="E55" s="583"/>
      <c r="F55" s="583"/>
      <c r="G55" s="583"/>
      <c r="H55" s="181"/>
      <c r="I55" s="186"/>
      <c r="J55" s="494">
        <v>606</v>
      </c>
      <c r="K55" s="490"/>
      <c r="L55" s="286" t="str">
        <f>IF(I55&gt;=0,"OK","ERROR")</f>
        <v>OK</v>
      </c>
    </row>
    <row r="56" spans="1:12" ht="21" customHeight="1" thickBot="1">
      <c r="A56" s="272" t="s">
        <v>489</v>
      </c>
      <c r="B56" s="655" t="s">
        <v>321</v>
      </c>
      <c r="C56" s="656"/>
      <c r="D56" s="656"/>
      <c r="E56" s="656"/>
      <c r="F56" s="656"/>
      <c r="G56" s="656"/>
      <c r="H56" s="181"/>
      <c r="I56" s="309">
        <f>SUM(I23,I36:I55)</f>
        <v>0</v>
      </c>
      <c r="J56" s="494">
        <v>284</v>
      </c>
      <c r="K56" s="490"/>
      <c r="L56" s="286" t="str">
        <f>IF(I56&gt;=0,"OK","ERROR")</f>
        <v>OK</v>
      </c>
    </row>
    <row r="57" spans="1:12" ht="17.25" customHeight="1" thickTop="1">
      <c r="A57" s="272"/>
      <c r="B57" s="659" t="s">
        <v>324</v>
      </c>
      <c r="C57" s="659"/>
      <c r="D57" s="659"/>
      <c r="E57" s="659"/>
      <c r="F57" s="659"/>
      <c r="G57" s="659"/>
      <c r="H57" s="181"/>
      <c r="I57" s="282"/>
      <c r="J57" s="494"/>
      <c r="K57" s="490"/>
    </row>
    <row r="58" spans="1:12" ht="28.5" customHeight="1">
      <c r="A58" s="268" t="s">
        <v>384</v>
      </c>
      <c r="B58" s="588" t="s">
        <v>525</v>
      </c>
      <c r="C58" s="515"/>
      <c r="D58" s="515"/>
      <c r="E58" s="515"/>
      <c r="F58" s="515"/>
      <c r="G58" s="515"/>
      <c r="H58" s="181"/>
      <c r="I58" s="186"/>
      <c r="J58" s="494">
        <v>285</v>
      </c>
      <c r="K58" s="490"/>
      <c r="L58" s="286" t="str">
        <f>IF(AND(I58&gt;=0,I58&lt;=I56),"OK","ERROR")</f>
        <v>OK</v>
      </c>
    </row>
    <row r="59" spans="1:12" ht="33" customHeight="1">
      <c r="A59" s="271" t="s">
        <v>490</v>
      </c>
      <c r="B59" s="610" t="s">
        <v>1309</v>
      </c>
      <c r="C59" s="660"/>
      <c r="D59" s="660"/>
      <c r="E59" s="660"/>
      <c r="F59" s="660"/>
      <c r="G59" s="660"/>
      <c r="H59" s="181"/>
      <c r="I59" s="224"/>
      <c r="J59" s="494"/>
      <c r="K59" s="490"/>
    </row>
    <row r="60" spans="1:12" ht="28.5" customHeight="1">
      <c r="A60" s="268" t="s">
        <v>491</v>
      </c>
      <c r="B60" s="588" t="s">
        <v>1458</v>
      </c>
      <c r="C60" s="515"/>
      <c r="D60" s="515"/>
      <c r="E60" s="515"/>
      <c r="F60" s="515"/>
      <c r="G60" s="515"/>
      <c r="H60" s="181"/>
      <c r="I60" s="186"/>
      <c r="J60" s="494">
        <v>286</v>
      </c>
      <c r="K60" s="490"/>
      <c r="L60" s="286" t="str">
        <f t="shared" si="1"/>
        <v>OK</v>
      </c>
    </row>
    <row r="61" spans="1:12" ht="28.5" customHeight="1">
      <c r="A61" s="268" t="s">
        <v>492</v>
      </c>
      <c r="B61" s="589" t="s">
        <v>1459</v>
      </c>
      <c r="C61" s="510"/>
      <c r="D61" s="510"/>
      <c r="E61" s="510"/>
      <c r="F61" s="510"/>
      <c r="G61" s="510"/>
      <c r="H61" s="181"/>
      <c r="I61" s="186"/>
      <c r="J61" s="494">
        <v>288</v>
      </c>
      <c r="K61" s="490"/>
      <c r="L61" s="286" t="str">
        <f t="shared" si="1"/>
        <v>OK</v>
      </c>
    </row>
    <row r="62" spans="1:12" ht="17.25" customHeight="1">
      <c r="A62" s="260" t="s">
        <v>493</v>
      </c>
      <c r="B62" s="588" t="s">
        <v>371</v>
      </c>
      <c r="C62" s="515"/>
      <c r="D62" s="515"/>
      <c r="E62" s="515"/>
      <c r="F62" s="515"/>
      <c r="G62" s="515"/>
      <c r="H62" s="181"/>
      <c r="I62" s="186"/>
      <c r="J62" s="494">
        <v>289</v>
      </c>
      <c r="K62" s="490"/>
      <c r="L62" s="286" t="str">
        <f>IF(I62&gt;=0,"OK","ERROR")</f>
        <v>OK</v>
      </c>
    </row>
    <row r="63" spans="1:12" ht="28.5" customHeight="1">
      <c r="A63" s="268" t="s">
        <v>494</v>
      </c>
      <c r="B63" s="589" t="s">
        <v>1460</v>
      </c>
      <c r="C63" s="510"/>
      <c r="D63" s="510"/>
      <c r="E63" s="510"/>
      <c r="F63" s="510"/>
      <c r="G63" s="510"/>
      <c r="H63" s="181"/>
      <c r="I63" s="186"/>
      <c r="J63" s="494">
        <v>292</v>
      </c>
      <c r="K63" s="490"/>
      <c r="L63" s="286" t="str">
        <f t="shared" si="1"/>
        <v>OK</v>
      </c>
    </row>
    <row r="64" spans="1:12" ht="17.25" customHeight="1">
      <c r="A64" s="260" t="s">
        <v>495</v>
      </c>
      <c r="B64" s="589" t="s">
        <v>456</v>
      </c>
      <c r="C64" s="510"/>
      <c r="D64" s="510"/>
      <c r="E64" s="510"/>
      <c r="F64" s="510"/>
      <c r="G64" s="510"/>
      <c r="H64" s="181"/>
      <c r="I64" s="186"/>
      <c r="J64" s="494">
        <v>293</v>
      </c>
      <c r="K64" s="490"/>
      <c r="L64" s="286" t="str">
        <f>IF(I64&gt;=0,"OK","ERROR")</f>
        <v>OK</v>
      </c>
    </row>
    <row r="65" spans="1:21" ht="28.5" customHeight="1">
      <c r="A65" s="268" t="s">
        <v>496</v>
      </c>
      <c r="B65" s="589" t="s">
        <v>1461</v>
      </c>
      <c r="C65" s="510"/>
      <c r="D65" s="510"/>
      <c r="E65" s="510"/>
      <c r="F65" s="510"/>
      <c r="G65" s="510"/>
      <c r="H65" s="181"/>
      <c r="I65" s="186"/>
      <c r="J65" s="494">
        <v>296</v>
      </c>
      <c r="K65" s="490"/>
      <c r="L65" s="286" t="str">
        <f t="shared" si="1"/>
        <v>OK</v>
      </c>
    </row>
    <row r="66" spans="1:21" ht="28.5" customHeight="1">
      <c r="A66" s="268" t="s">
        <v>497</v>
      </c>
      <c r="B66" s="589" t="s">
        <v>1462</v>
      </c>
      <c r="C66" s="510"/>
      <c r="D66" s="510"/>
      <c r="E66" s="510"/>
      <c r="F66" s="510"/>
      <c r="G66" s="510"/>
      <c r="H66" s="181"/>
      <c r="I66" s="186"/>
      <c r="J66" s="494">
        <v>298</v>
      </c>
      <c r="K66" s="490"/>
      <c r="L66" s="286" t="str">
        <f t="shared" si="1"/>
        <v>OK</v>
      </c>
    </row>
    <row r="67" spans="1:21" ht="28.5" customHeight="1">
      <c r="A67" s="268" t="s">
        <v>498</v>
      </c>
      <c r="B67" s="589" t="s">
        <v>1463</v>
      </c>
      <c r="C67" s="510"/>
      <c r="D67" s="510"/>
      <c r="E67" s="510"/>
      <c r="F67" s="510"/>
      <c r="G67" s="510"/>
      <c r="H67" s="181"/>
      <c r="I67" s="186"/>
      <c r="J67" s="494">
        <v>300</v>
      </c>
      <c r="K67" s="490"/>
      <c r="L67" s="286" t="str">
        <f t="shared" si="1"/>
        <v>OK</v>
      </c>
    </row>
    <row r="68" spans="1:21" ht="17.25" customHeight="1">
      <c r="A68" s="260" t="s">
        <v>499</v>
      </c>
      <c r="B68" s="589" t="s">
        <v>372</v>
      </c>
      <c r="C68" s="510"/>
      <c r="D68" s="510"/>
      <c r="E68" s="510"/>
      <c r="F68" s="510"/>
      <c r="G68" s="510"/>
      <c r="H68" s="181"/>
      <c r="I68" s="186"/>
      <c r="J68" s="494">
        <v>301</v>
      </c>
      <c r="K68" s="490"/>
      <c r="L68" s="286" t="str">
        <f>IF(I68&gt;=0,"OK","ERROR")</f>
        <v>OK</v>
      </c>
    </row>
    <row r="69" spans="1:21" ht="17.25" customHeight="1">
      <c r="A69" s="260" t="s">
        <v>532</v>
      </c>
      <c r="B69" s="589" t="s">
        <v>531</v>
      </c>
      <c r="C69" s="510"/>
      <c r="D69" s="510"/>
      <c r="E69" s="510"/>
      <c r="F69" s="510"/>
      <c r="G69" s="510"/>
      <c r="H69" s="181"/>
      <c r="I69" s="186"/>
      <c r="J69" s="494">
        <v>302</v>
      </c>
      <c r="K69" s="490"/>
      <c r="L69" s="286" t="str">
        <f>IF(I69&gt;=0,"OK","ERROR")</f>
        <v>OK</v>
      </c>
    </row>
    <row r="70" spans="1:21" ht="28.5" customHeight="1">
      <c r="A70" s="268" t="s">
        <v>500</v>
      </c>
      <c r="B70" s="589" t="s">
        <v>1464</v>
      </c>
      <c r="C70" s="510"/>
      <c r="D70" s="510"/>
      <c r="E70" s="510"/>
      <c r="F70" s="510"/>
      <c r="G70" s="510"/>
      <c r="H70" s="181"/>
      <c r="I70" s="186"/>
      <c r="J70" s="494">
        <v>305</v>
      </c>
      <c r="K70" s="490"/>
      <c r="L70" s="286" t="str">
        <f t="shared" si="1"/>
        <v>OK</v>
      </c>
    </row>
    <row r="71" spans="1:21" ht="17.25" customHeight="1">
      <c r="A71" s="268" t="s">
        <v>1310</v>
      </c>
      <c r="B71" s="583" t="s">
        <v>1311</v>
      </c>
      <c r="C71" s="594"/>
      <c r="D71" s="594"/>
      <c r="E71" s="594"/>
      <c r="F71" s="594"/>
      <c r="G71" s="594"/>
      <c r="H71" s="181"/>
      <c r="I71" s="186"/>
      <c r="J71" s="494">
        <v>307</v>
      </c>
      <c r="K71" s="490"/>
      <c r="L71" s="286" t="str">
        <f t="shared" si="1"/>
        <v>OK</v>
      </c>
    </row>
    <row r="72" spans="1:21" ht="28.5" customHeight="1">
      <c r="A72" s="268" t="s">
        <v>501</v>
      </c>
      <c r="B72" s="583" t="s">
        <v>1312</v>
      </c>
      <c r="C72" s="594"/>
      <c r="D72" s="594"/>
      <c r="E72" s="594"/>
      <c r="F72" s="594"/>
      <c r="G72" s="594"/>
      <c r="H72" s="181"/>
      <c r="I72" s="186"/>
      <c r="J72" s="494">
        <v>309</v>
      </c>
      <c r="K72" s="490"/>
      <c r="L72" s="286" t="str">
        <f t="shared" si="1"/>
        <v>OK</v>
      </c>
    </row>
    <row r="73" spans="1:21" ht="17.25" customHeight="1">
      <c r="A73" s="260" t="s">
        <v>554</v>
      </c>
      <c r="B73" s="583" t="s">
        <v>1465</v>
      </c>
      <c r="C73" s="594"/>
      <c r="D73" s="594"/>
      <c r="E73" s="594"/>
      <c r="F73" s="594"/>
      <c r="G73" s="594"/>
      <c r="H73" s="297"/>
      <c r="I73" s="186"/>
      <c r="J73" s="494">
        <v>566</v>
      </c>
      <c r="K73" s="464"/>
      <c r="L73" s="115" t="str">
        <f t="shared" si="1"/>
        <v>OK</v>
      </c>
    </row>
    <row r="74" spans="1:21" s="490" customFormat="1" ht="6" customHeight="1">
      <c r="A74" s="261"/>
      <c r="B74" s="615"/>
      <c r="C74" s="615"/>
      <c r="D74" s="615"/>
      <c r="E74" s="615"/>
      <c r="F74" s="615"/>
      <c r="G74" s="615"/>
      <c r="H74" s="8"/>
      <c r="I74" s="312"/>
      <c r="J74" s="496"/>
      <c r="K74" s="211"/>
      <c r="L74" s="285"/>
      <c r="N74" s="460"/>
      <c r="O74" s="460"/>
      <c r="P74" s="460"/>
      <c r="Q74" s="460"/>
      <c r="R74" s="460"/>
      <c r="S74" s="460"/>
      <c r="T74" s="460"/>
      <c r="U74" s="460"/>
    </row>
    <row r="75" spans="1:21" s="490" customFormat="1" ht="24" hidden="1" customHeight="1">
      <c r="A75" s="259"/>
      <c r="B75" s="527"/>
      <c r="C75" s="527"/>
      <c r="D75" s="527"/>
      <c r="E75" s="527"/>
      <c r="F75" s="527"/>
      <c r="G75" s="527"/>
      <c r="H75" s="134"/>
      <c r="I75" s="135"/>
      <c r="J75" s="494"/>
      <c r="K75" s="5"/>
      <c r="L75" s="285"/>
      <c r="N75" s="460"/>
      <c r="O75" s="460"/>
      <c r="P75" s="460"/>
      <c r="Q75" s="460"/>
      <c r="R75" s="460"/>
      <c r="S75" s="460"/>
      <c r="T75" s="460"/>
      <c r="U75" s="460"/>
    </row>
    <row r="76" spans="1:21" s="490" customFormat="1" ht="33" customHeight="1" thickBot="1">
      <c r="A76" s="272" t="s">
        <v>502</v>
      </c>
      <c r="B76" s="655" t="s">
        <v>322</v>
      </c>
      <c r="C76" s="656"/>
      <c r="D76" s="656"/>
      <c r="E76" s="656"/>
      <c r="F76" s="656"/>
      <c r="G76" s="656"/>
      <c r="H76" s="181"/>
      <c r="I76" s="279">
        <f>I56+SUM(I60:I73)</f>
        <v>0</v>
      </c>
      <c r="J76" s="494">
        <v>311</v>
      </c>
      <c r="L76" s="286" t="str">
        <f>IF(I76&gt;=0,"OK","ERROR")</f>
        <v>OK</v>
      </c>
      <c r="N76" s="460"/>
      <c r="O76" s="460"/>
      <c r="P76" s="460"/>
      <c r="Q76" s="460"/>
      <c r="R76" s="460"/>
      <c r="S76" s="460"/>
      <c r="T76" s="460"/>
      <c r="U76" s="460"/>
    </row>
    <row r="77" spans="1:21" s="490" customFormat="1" ht="28.5" customHeight="1" thickTop="1">
      <c r="A77" s="268" t="s">
        <v>503</v>
      </c>
      <c r="B77" s="589" t="s">
        <v>1466</v>
      </c>
      <c r="C77" s="510"/>
      <c r="D77" s="510"/>
      <c r="E77" s="510"/>
      <c r="F77" s="510"/>
      <c r="G77" s="510"/>
      <c r="H77" s="181"/>
      <c r="I77" s="186"/>
      <c r="J77" s="494">
        <v>312</v>
      </c>
      <c r="L77" s="286" t="str">
        <f>IF(I77&lt;=0,"OK","ERROR")</f>
        <v>OK</v>
      </c>
      <c r="N77" s="460"/>
      <c r="O77" s="460"/>
      <c r="P77" s="460"/>
      <c r="Q77" s="460"/>
      <c r="R77" s="460"/>
      <c r="S77" s="460"/>
      <c r="T77" s="460"/>
      <c r="U77" s="460"/>
    </row>
    <row r="78" spans="1:21" s="490" customFormat="1" ht="28.5" customHeight="1">
      <c r="A78" s="268" t="s">
        <v>504</v>
      </c>
      <c r="B78" s="589" t="s">
        <v>1467</v>
      </c>
      <c r="C78" s="510"/>
      <c r="D78" s="510"/>
      <c r="E78" s="510"/>
      <c r="F78" s="510"/>
      <c r="G78" s="510"/>
      <c r="H78" s="181"/>
      <c r="I78" s="186"/>
      <c r="J78" s="494">
        <v>314</v>
      </c>
      <c r="L78" s="286" t="str">
        <f>IF(I78&lt;=0,"OK","ERROR")</f>
        <v>OK</v>
      </c>
      <c r="N78" s="460"/>
      <c r="O78" s="460"/>
      <c r="P78" s="460"/>
      <c r="Q78" s="460"/>
      <c r="R78" s="460"/>
      <c r="S78" s="460"/>
      <c r="T78" s="460"/>
      <c r="U78" s="460"/>
    </row>
    <row r="79" spans="1:21" s="490" customFormat="1" ht="33" customHeight="1" thickBot="1">
      <c r="A79" s="271" t="s">
        <v>385</v>
      </c>
      <c r="B79" s="655" t="s">
        <v>1468</v>
      </c>
      <c r="C79" s="656"/>
      <c r="D79" s="656"/>
      <c r="E79" s="656"/>
      <c r="F79" s="656"/>
      <c r="G79" s="656"/>
      <c r="H79" s="181"/>
      <c r="I79" s="279">
        <f>SUM(I76:I78)</f>
        <v>0</v>
      </c>
      <c r="J79" s="494">
        <v>316</v>
      </c>
      <c r="L79" s="286" t="str">
        <f>IF(I79&gt;=0,"OK","ERROR")</f>
        <v>OK</v>
      </c>
      <c r="N79" s="460"/>
      <c r="O79" s="460"/>
      <c r="P79" s="460"/>
      <c r="Q79" s="460"/>
      <c r="R79" s="460"/>
      <c r="S79" s="460"/>
      <c r="T79" s="460"/>
      <c r="U79" s="460"/>
    </row>
    <row r="80" spans="1:21" s="490" customFormat="1" ht="28.5" customHeight="1" thickTop="1">
      <c r="A80" s="268" t="s">
        <v>505</v>
      </c>
      <c r="B80" s="582" t="s">
        <v>1469</v>
      </c>
      <c r="C80" s="622"/>
      <c r="D80" s="622"/>
      <c r="E80" s="622"/>
      <c r="F80" s="622"/>
      <c r="G80" s="622"/>
      <c r="H80" s="181"/>
      <c r="I80" s="186"/>
      <c r="J80" s="494">
        <v>317</v>
      </c>
      <c r="L80" s="286" t="str">
        <f>IF(I80&lt;=0,"OK","ERROR")</f>
        <v>OK</v>
      </c>
      <c r="N80" s="460"/>
      <c r="O80" s="460"/>
      <c r="P80" s="460"/>
      <c r="Q80" s="460"/>
      <c r="R80" s="460"/>
      <c r="S80" s="460"/>
      <c r="T80" s="460"/>
      <c r="U80" s="460"/>
    </row>
    <row r="81" spans="1:21" s="490" customFormat="1" ht="28.5" customHeight="1">
      <c r="A81" s="268" t="s">
        <v>506</v>
      </c>
      <c r="B81" s="589" t="s">
        <v>457</v>
      </c>
      <c r="C81" s="510"/>
      <c r="D81" s="510"/>
      <c r="E81" s="510"/>
      <c r="F81" s="510"/>
      <c r="G81" s="510"/>
      <c r="H81" s="181"/>
      <c r="I81" s="186"/>
      <c r="J81" s="494">
        <v>319</v>
      </c>
      <c r="L81" s="286" t="str">
        <f>IF(I81&lt;=0,"OK","ERROR")</f>
        <v>OK</v>
      </c>
      <c r="N81" s="460"/>
      <c r="O81" s="460"/>
      <c r="P81" s="460"/>
      <c r="Q81" s="460"/>
      <c r="R81" s="460"/>
      <c r="S81" s="460"/>
      <c r="T81" s="460"/>
      <c r="U81" s="460"/>
    </row>
    <row r="82" spans="1:21" s="490" customFormat="1" ht="33" customHeight="1" thickBot="1">
      <c r="A82" s="271" t="s">
        <v>386</v>
      </c>
      <c r="B82" s="655" t="s">
        <v>1470</v>
      </c>
      <c r="C82" s="656"/>
      <c r="D82" s="656"/>
      <c r="E82" s="656"/>
      <c r="F82" s="656"/>
      <c r="G82" s="656"/>
      <c r="H82" s="181"/>
      <c r="I82" s="279">
        <f>SUM(I79:I81)</f>
        <v>0</v>
      </c>
      <c r="J82" s="494">
        <v>321</v>
      </c>
      <c r="L82" s="286" t="str">
        <f>IF(I82&gt;=0,"OK","ERROR")</f>
        <v>OK</v>
      </c>
      <c r="N82" s="460"/>
      <c r="O82" s="460"/>
      <c r="P82" s="460"/>
      <c r="Q82" s="460"/>
      <c r="R82" s="460"/>
      <c r="S82" s="460"/>
      <c r="T82" s="460"/>
      <c r="U82" s="460"/>
    </row>
    <row r="83" spans="1:21" s="490" customFormat="1" ht="28.5" customHeight="1" thickTop="1">
      <c r="A83" s="268" t="s">
        <v>507</v>
      </c>
      <c r="B83" s="589" t="s">
        <v>366</v>
      </c>
      <c r="C83" s="510"/>
      <c r="D83" s="510"/>
      <c r="E83" s="510"/>
      <c r="F83" s="510"/>
      <c r="G83" s="510"/>
      <c r="H83" s="181"/>
      <c r="I83" s="186"/>
      <c r="J83" s="494">
        <v>322</v>
      </c>
      <c r="L83" s="286" t="str">
        <f>IF(I83&lt;=0,"OK","ERROR")</f>
        <v>OK</v>
      </c>
      <c r="N83" s="460"/>
      <c r="O83" s="460"/>
      <c r="P83" s="460"/>
      <c r="Q83" s="460"/>
      <c r="R83" s="460"/>
      <c r="S83" s="460"/>
      <c r="T83" s="460"/>
      <c r="U83" s="460"/>
    </row>
    <row r="84" spans="1:21" s="490" customFormat="1" ht="28.5" customHeight="1">
      <c r="A84" s="268" t="s">
        <v>508</v>
      </c>
      <c r="B84" s="589" t="s">
        <v>367</v>
      </c>
      <c r="C84" s="510"/>
      <c r="D84" s="510"/>
      <c r="E84" s="510"/>
      <c r="F84" s="510"/>
      <c r="G84" s="510"/>
      <c r="H84" s="181"/>
      <c r="I84" s="186"/>
      <c r="J84" s="494">
        <v>324</v>
      </c>
      <c r="L84" s="286" t="str">
        <f>IF(I84&lt;=0,"OK","ERROR")</f>
        <v>OK</v>
      </c>
      <c r="N84" s="460"/>
      <c r="O84" s="460"/>
      <c r="P84" s="460"/>
      <c r="Q84" s="460"/>
      <c r="R84" s="460"/>
      <c r="S84" s="460"/>
      <c r="T84" s="460"/>
      <c r="U84" s="460"/>
    </row>
    <row r="85" spans="1:21" s="490" customFormat="1" ht="28.5" customHeight="1">
      <c r="A85" s="268" t="s">
        <v>509</v>
      </c>
      <c r="B85" s="589" t="s">
        <v>368</v>
      </c>
      <c r="C85" s="510"/>
      <c r="D85" s="510"/>
      <c r="E85" s="510"/>
      <c r="F85" s="510"/>
      <c r="G85" s="510"/>
      <c r="H85" s="181"/>
      <c r="I85" s="186"/>
      <c r="J85" s="494">
        <v>326</v>
      </c>
      <c r="L85" s="286" t="str">
        <f>IF(I85&lt;=0,"OK","ERROR")</f>
        <v>OK</v>
      </c>
      <c r="N85" s="460"/>
      <c r="O85" s="460"/>
      <c r="P85" s="460"/>
      <c r="Q85" s="460"/>
      <c r="R85" s="460"/>
      <c r="S85" s="460"/>
      <c r="T85" s="460"/>
      <c r="U85" s="460"/>
    </row>
    <row r="86" spans="1:21" s="490" customFormat="1" ht="33" customHeight="1" thickBot="1">
      <c r="A86" s="272" t="s">
        <v>510</v>
      </c>
      <c r="B86" s="655" t="s">
        <v>1471</v>
      </c>
      <c r="C86" s="656"/>
      <c r="D86" s="656"/>
      <c r="E86" s="656"/>
      <c r="F86" s="656"/>
      <c r="G86" s="656"/>
      <c r="H86" s="181"/>
      <c r="I86" s="279">
        <f>SUM(I82:I85)</f>
        <v>0</v>
      </c>
      <c r="J86" s="494">
        <v>328</v>
      </c>
      <c r="L86" s="286" t="str">
        <f>IF(I86&gt;=0,"OK","ERROR")</f>
        <v>OK</v>
      </c>
      <c r="N86" s="460"/>
      <c r="O86" s="460"/>
      <c r="P86" s="460"/>
      <c r="Q86" s="460"/>
      <c r="R86" s="460"/>
      <c r="S86" s="460"/>
      <c r="T86" s="460"/>
      <c r="U86" s="460"/>
    </row>
    <row r="87" spans="1:21" s="490" customFormat="1" ht="28.5" customHeight="1" thickTop="1">
      <c r="A87" s="268" t="s">
        <v>1313</v>
      </c>
      <c r="B87" s="583" t="s">
        <v>1314</v>
      </c>
      <c r="C87" s="594"/>
      <c r="D87" s="594"/>
      <c r="E87" s="594"/>
      <c r="F87" s="594"/>
      <c r="G87" s="594"/>
      <c r="H87" s="181"/>
      <c r="I87" s="186"/>
      <c r="J87" s="494">
        <v>329</v>
      </c>
      <c r="L87" s="286" t="str">
        <f>IF(I87&lt;=0,"OK","ERROR")</f>
        <v>OK</v>
      </c>
      <c r="N87" s="460"/>
      <c r="O87" s="460"/>
      <c r="P87" s="460"/>
      <c r="Q87" s="460"/>
      <c r="R87" s="460"/>
      <c r="S87" s="460"/>
      <c r="T87" s="460"/>
      <c r="U87" s="460"/>
    </row>
    <row r="88" spans="1:21" s="490" customFormat="1" ht="28.5" customHeight="1">
      <c r="A88" s="268" t="s">
        <v>511</v>
      </c>
      <c r="B88" s="583" t="s">
        <v>1315</v>
      </c>
      <c r="C88" s="594"/>
      <c r="D88" s="594"/>
      <c r="E88" s="594"/>
      <c r="F88" s="594"/>
      <c r="G88" s="594"/>
      <c r="H88" s="181"/>
      <c r="I88" s="186"/>
      <c r="J88" s="494">
        <v>330</v>
      </c>
      <c r="L88" s="286" t="str">
        <f>IF(I88&lt;=0,"OK","ERROR")</f>
        <v>OK</v>
      </c>
      <c r="N88" s="460"/>
      <c r="O88" s="460"/>
      <c r="P88" s="460"/>
      <c r="Q88" s="460"/>
      <c r="R88" s="460"/>
      <c r="S88" s="460"/>
      <c r="T88" s="460"/>
      <c r="U88" s="460"/>
    </row>
    <row r="89" spans="1:21" s="490" customFormat="1" ht="28.5" customHeight="1">
      <c r="A89" s="268" t="s">
        <v>512</v>
      </c>
      <c r="B89" s="583" t="s">
        <v>1316</v>
      </c>
      <c r="C89" s="594"/>
      <c r="D89" s="594"/>
      <c r="E89" s="594"/>
      <c r="F89" s="594"/>
      <c r="G89" s="594"/>
      <c r="H89" s="181"/>
      <c r="I89" s="186"/>
      <c r="J89" s="494">
        <v>331</v>
      </c>
      <c r="L89" s="286" t="str">
        <f>IF(I89&lt;=0,"OK","ERROR")</f>
        <v>OK</v>
      </c>
      <c r="N89" s="460"/>
      <c r="O89" s="460"/>
      <c r="P89" s="460"/>
      <c r="Q89" s="460"/>
      <c r="R89" s="460"/>
      <c r="S89" s="460"/>
      <c r="T89" s="460"/>
      <c r="U89" s="460"/>
    </row>
    <row r="90" spans="1:21" s="490" customFormat="1" ht="33" customHeight="1">
      <c r="A90" s="272" t="s">
        <v>312</v>
      </c>
      <c r="B90" s="657" t="s">
        <v>311</v>
      </c>
      <c r="C90" s="658"/>
      <c r="D90" s="658"/>
      <c r="E90" s="658"/>
      <c r="F90" s="658"/>
      <c r="G90" s="658"/>
      <c r="H90" s="181"/>
      <c r="I90" s="224"/>
      <c r="J90" s="494"/>
      <c r="L90" s="284"/>
      <c r="N90" s="460"/>
      <c r="O90" s="460"/>
      <c r="P90" s="460"/>
      <c r="Q90" s="460"/>
      <c r="R90" s="460"/>
      <c r="S90" s="460"/>
      <c r="T90" s="460"/>
      <c r="U90" s="460"/>
    </row>
    <row r="91" spans="1:21" s="490" customFormat="1" ht="28.5" customHeight="1" thickBot="1">
      <c r="A91" s="268" t="s">
        <v>588</v>
      </c>
      <c r="B91" s="588" t="s">
        <v>1472</v>
      </c>
      <c r="C91" s="515"/>
      <c r="D91" s="515"/>
      <c r="E91" s="515"/>
      <c r="F91" s="515"/>
      <c r="G91" s="515"/>
      <c r="H91" s="181"/>
      <c r="I91" s="309">
        <f>-I180</f>
        <v>0</v>
      </c>
      <c r="J91" s="494">
        <v>336</v>
      </c>
      <c r="L91" s="286" t="str">
        <f>IF(I91&lt;=0,"OK","ERROR")</f>
        <v>OK</v>
      </c>
      <c r="N91" s="460"/>
      <c r="O91" s="460"/>
      <c r="P91" s="460"/>
      <c r="Q91" s="460"/>
      <c r="R91" s="460"/>
      <c r="S91" s="460"/>
      <c r="T91" s="460"/>
      <c r="U91" s="460"/>
    </row>
    <row r="92" spans="1:21" s="490" customFormat="1" ht="28.5" customHeight="1" thickTop="1">
      <c r="A92" s="268" t="s">
        <v>589</v>
      </c>
      <c r="B92" s="589" t="s">
        <v>1473</v>
      </c>
      <c r="C92" s="510"/>
      <c r="D92" s="510"/>
      <c r="E92" s="510"/>
      <c r="F92" s="510"/>
      <c r="G92" s="510"/>
      <c r="H92" s="181"/>
      <c r="I92" s="186"/>
      <c r="J92" s="494">
        <v>337</v>
      </c>
      <c r="L92" s="286" t="str">
        <f>IF(I92&lt;=0,"OK","ERROR")</f>
        <v>OK</v>
      </c>
      <c r="N92" s="460"/>
      <c r="O92" s="460"/>
      <c r="P92" s="460"/>
      <c r="Q92" s="460"/>
      <c r="R92" s="460"/>
      <c r="S92" s="460"/>
      <c r="T92" s="460"/>
      <c r="U92" s="460"/>
    </row>
    <row r="93" spans="1:21" ht="18.75" customHeight="1">
      <c r="A93" s="268" t="s">
        <v>556</v>
      </c>
      <c r="B93" s="582" t="s">
        <v>1172</v>
      </c>
      <c r="C93" s="582"/>
      <c r="D93" s="582"/>
      <c r="E93" s="582"/>
      <c r="F93" s="582"/>
      <c r="G93" s="582"/>
      <c r="H93" s="181"/>
      <c r="I93" s="186"/>
      <c r="J93" s="494">
        <v>1126</v>
      </c>
      <c r="K93" s="490"/>
      <c r="L93" s="115" t="str">
        <f>IF(I93&gt;=0,"OK","ERROR")</f>
        <v>OK</v>
      </c>
    </row>
    <row r="94" spans="1:21" ht="16.5" customHeight="1" thickBot="1">
      <c r="A94" s="268" t="s">
        <v>557</v>
      </c>
      <c r="B94" s="653" t="s">
        <v>1173</v>
      </c>
      <c r="C94" s="654"/>
      <c r="D94" s="654"/>
      <c r="E94" s="654"/>
      <c r="F94" s="654"/>
      <c r="G94" s="654"/>
      <c r="H94" s="181"/>
      <c r="I94" s="309">
        <f>I86+I87+I88+I89+I91+I92+I93</f>
        <v>0</v>
      </c>
      <c r="J94" s="494">
        <v>1127</v>
      </c>
      <c r="K94" s="490"/>
      <c r="L94" s="115" t="str">
        <f>IF(I94&gt;=0,"OK","ERROR")</f>
        <v>OK</v>
      </c>
    </row>
    <row r="95" spans="1:21" ht="16.5" customHeight="1" thickTop="1" thickBot="1">
      <c r="A95" s="268" t="s">
        <v>558</v>
      </c>
      <c r="B95" s="579" t="s">
        <v>639</v>
      </c>
      <c r="C95" s="593"/>
      <c r="D95" s="593"/>
      <c r="E95" s="593"/>
      <c r="F95" s="593"/>
      <c r="G95" s="593"/>
      <c r="H95" s="181"/>
      <c r="I95" s="279">
        <f>-I219/2</f>
        <v>0</v>
      </c>
      <c r="J95" s="494">
        <v>1128</v>
      </c>
      <c r="K95" s="490"/>
      <c r="L95" s="115" t="str">
        <f>IF(I95&lt;=0,"OK","ERROR")</f>
        <v>OK</v>
      </c>
    </row>
    <row r="96" spans="1:21" ht="28.5" customHeight="1" thickTop="1" thickBot="1">
      <c r="A96" s="268" t="s">
        <v>1030</v>
      </c>
      <c r="B96" s="579" t="s">
        <v>1474</v>
      </c>
      <c r="C96" s="593"/>
      <c r="D96" s="593"/>
      <c r="E96" s="593"/>
      <c r="F96" s="593"/>
      <c r="G96" s="593"/>
      <c r="H96" s="181"/>
      <c r="I96" s="279">
        <f>-I200</f>
        <v>0</v>
      </c>
      <c r="J96" s="494">
        <v>1129</v>
      </c>
      <c r="K96" s="490"/>
      <c r="L96" s="115" t="str">
        <f>IF(I96&lt;=0,"OK","ERROR")</f>
        <v>OK</v>
      </c>
    </row>
    <row r="97" spans="1:21" s="490" customFormat="1" ht="33" customHeight="1" thickTop="1" thickBot="1">
      <c r="A97" s="272" t="s">
        <v>513</v>
      </c>
      <c r="B97" s="655" t="s">
        <v>323</v>
      </c>
      <c r="C97" s="656"/>
      <c r="D97" s="656"/>
      <c r="E97" s="656"/>
      <c r="F97" s="656"/>
      <c r="G97" s="656"/>
      <c r="H97" s="181"/>
      <c r="I97" s="279">
        <f>I94+I95+I96</f>
        <v>0</v>
      </c>
      <c r="J97" s="494">
        <v>338</v>
      </c>
      <c r="L97" s="286" t="str">
        <f>IF(I97&gt;0,"OK","ERROR")</f>
        <v>ERROR</v>
      </c>
      <c r="N97" s="460"/>
      <c r="O97" s="460"/>
      <c r="P97" s="460"/>
      <c r="Q97" s="460"/>
      <c r="R97" s="460"/>
      <c r="S97" s="460"/>
      <c r="T97" s="460"/>
      <c r="U97" s="460"/>
    </row>
    <row r="98" spans="1:21" s="490" customFormat="1" ht="6" customHeight="1" thickTop="1">
      <c r="A98" s="261"/>
      <c r="B98" s="615"/>
      <c r="C98" s="615"/>
      <c r="D98" s="615"/>
      <c r="E98" s="615"/>
      <c r="F98" s="615"/>
      <c r="G98" s="615"/>
      <c r="H98" s="8"/>
      <c r="I98" s="277"/>
      <c r="J98" s="496"/>
      <c r="K98" s="211"/>
      <c r="L98" s="285"/>
      <c r="N98" s="460"/>
      <c r="O98" s="460"/>
      <c r="P98" s="460"/>
      <c r="Q98" s="460"/>
      <c r="R98" s="460"/>
      <c r="S98" s="460"/>
      <c r="T98" s="460"/>
      <c r="U98" s="460"/>
    </row>
    <row r="99" spans="1:21" s="490" customFormat="1" ht="6" customHeight="1">
      <c r="A99" s="259"/>
      <c r="B99" s="527"/>
      <c r="C99" s="527"/>
      <c r="D99" s="527"/>
      <c r="E99" s="527"/>
      <c r="F99" s="527"/>
      <c r="G99" s="527"/>
      <c r="H99" s="134"/>
      <c r="I99" s="135"/>
      <c r="J99" s="494"/>
      <c r="K99" s="5"/>
      <c r="L99" s="285"/>
      <c r="N99" s="460"/>
      <c r="O99" s="460"/>
      <c r="P99" s="460"/>
      <c r="Q99" s="460"/>
      <c r="R99" s="460"/>
      <c r="S99" s="460"/>
      <c r="T99" s="460"/>
      <c r="U99" s="460"/>
    </row>
    <row r="100" spans="1:21" s="490" customFormat="1" ht="33" customHeight="1" thickBot="1">
      <c r="A100" s="273" t="s">
        <v>1031</v>
      </c>
      <c r="B100" s="612" t="s">
        <v>1317</v>
      </c>
      <c r="C100" s="612"/>
      <c r="D100" s="612"/>
      <c r="E100" s="612"/>
      <c r="F100" s="612"/>
      <c r="G100" s="612"/>
      <c r="H100" s="181"/>
      <c r="I100" s="279">
        <f>I203</f>
        <v>0</v>
      </c>
      <c r="J100" s="494">
        <v>339</v>
      </c>
      <c r="O100" s="460"/>
      <c r="P100" s="460"/>
      <c r="Q100" s="460"/>
      <c r="R100" s="460"/>
      <c r="S100" s="460"/>
      <c r="T100" s="460"/>
      <c r="U100" s="460"/>
    </row>
    <row r="101" spans="1:21" s="314" customFormat="1" ht="17.25" customHeight="1" thickTop="1">
      <c r="A101" s="260" t="s">
        <v>640</v>
      </c>
      <c r="B101" s="603" t="s">
        <v>1032</v>
      </c>
      <c r="C101" s="603"/>
      <c r="D101" s="603"/>
      <c r="E101" s="603"/>
      <c r="F101" s="603"/>
      <c r="G101" s="603"/>
      <c r="H101" s="181"/>
      <c r="I101" s="313"/>
      <c r="J101" s="280">
        <v>1170</v>
      </c>
      <c r="L101" s="115" t="str">
        <f t="shared" ref="L101:L107" si="2">IF(I101&gt;=0,"OK","ERROR")</f>
        <v>OK</v>
      </c>
      <c r="N101" s="391"/>
    </row>
    <row r="102" spans="1:21" s="314" customFormat="1" ht="17.25" customHeight="1">
      <c r="A102" s="260" t="s">
        <v>641</v>
      </c>
      <c r="B102" s="603" t="s">
        <v>1033</v>
      </c>
      <c r="C102" s="603"/>
      <c r="D102" s="603"/>
      <c r="E102" s="603"/>
      <c r="F102" s="603"/>
      <c r="G102" s="603"/>
      <c r="H102" s="181"/>
      <c r="I102" s="313"/>
      <c r="J102" s="280">
        <v>1171</v>
      </c>
      <c r="L102" s="115" t="str">
        <f t="shared" si="2"/>
        <v>OK</v>
      </c>
      <c r="N102" s="391"/>
    </row>
    <row r="103" spans="1:21" s="314" customFormat="1" ht="28.5" customHeight="1">
      <c r="A103" s="268" t="s">
        <v>1034</v>
      </c>
      <c r="B103" s="603" t="s">
        <v>1475</v>
      </c>
      <c r="C103" s="603"/>
      <c r="D103" s="603"/>
      <c r="E103" s="603"/>
      <c r="F103" s="603"/>
      <c r="G103" s="603"/>
      <c r="H103" s="181"/>
      <c r="I103" s="313"/>
      <c r="J103" s="280">
        <v>1172</v>
      </c>
      <c r="L103" s="115" t="str">
        <f t="shared" si="2"/>
        <v>OK</v>
      </c>
      <c r="N103" s="391"/>
    </row>
    <row r="104" spans="1:21" ht="17.25" customHeight="1">
      <c r="A104" s="260" t="s">
        <v>282</v>
      </c>
      <c r="B104" s="650" t="s">
        <v>1035</v>
      </c>
      <c r="C104" s="586"/>
      <c r="D104" s="586"/>
      <c r="E104" s="586"/>
      <c r="F104" s="586"/>
      <c r="G104" s="586"/>
      <c r="H104" s="181"/>
      <c r="I104" s="186"/>
      <c r="J104" s="280">
        <v>343</v>
      </c>
      <c r="K104" s="490"/>
      <c r="L104" s="286" t="str">
        <f t="shared" si="2"/>
        <v>OK</v>
      </c>
    </row>
    <row r="105" spans="1:21" s="314" customFormat="1" ht="17.25" customHeight="1">
      <c r="A105" s="260" t="s">
        <v>645</v>
      </c>
      <c r="B105" s="603" t="s">
        <v>1036</v>
      </c>
      <c r="C105" s="603"/>
      <c r="D105" s="603"/>
      <c r="E105" s="603"/>
      <c r="F105" s="603"/>
      <c r="G105" s="603"/>
      <c r="H105" s="181"/>
      <c r="I105" s="313"/>
      <c r="J105" s="280">
        <v>1179</v>
      </c>
      <c r="L105" s="115" t="str">
        <f t="shared" si="2"/>
        <v>OK</v>
      </c>
      <c r="N105" s="391"/>
    </row>
    <row r="106" spans="1:21" s="314" customFormat="1" ht="28.5" customHeight="1">
      <c r="A106" s="268" t="s">
        <v>644</v>
      </c>
      <c r="B106" s="603" t="s">
        <v>1037</v>
      </c>
      <c r="C106" s="603"/>
      <c r="D106" s="603"/>
      <c r="E106" s="603"/>
      <c r="F106" s="603"/>
      <c r="G106" s="603"/>
      <c r="H106" s="181"/>
      <c r="I106" s="313"/>
      <c r="J106" s="280">
        <v>1180</v>
      </c>
      <c r="L106" s="115" t="str">
        <f t="shared" si="2"/>
        <v>OK</v>
      </c>
      <c r="N106" s="391"/>
    </row>
    <row r="107" spans="1:21" ht="33" customHeight="1" thickBot="1">
      <c r="A107" s="272" t="s">
        <v>283</v>
      </c>
      <c r="B107" s="631" t="s">
        <v>1318</v>
      </c>
      <c r="C107" s="651"/>
      <c r="D107" s="651"/>
      <c r="E107" s="651"/>
      <c r="F107" s="651"/>
      <c r="G107" s="651"/>
      <c r="H107" s="181"/>
      <c r="I107" s="309">
        <f>I101+I102+I103+I104+I105+I106</f>
        <v>0</v>
      </c>
      <c r="J107" s="280">
        <v>349</v>
      </c>
      <c r="K107" s="490"/>
      <c r="L107" s="286" t="str">
        <f t="shared" si="2"/>
        <v>OK</v>
      </c>
    </row>
    <row r="108" spans="1:21" ht="17.25" customHeight="1" thickTop="1">
      <c r="A108" s="272"/>
      <c r="B108" s="652" t="s">
        <v>326</v>
      </c>
      <c r="C108" s="652"/>
      <c r="D108" s="652"/>
      <c r="E108" s="652"/>
      <c r="F108" s="652"/>
      <c r="G108" s="652"/>
      <c r="H108" s="181"/>
      <c r="I108" s="282"/>
      <c r="J108" s="280"/>
      <c r="K108" s="490"/>
      <c r="L108" s="490"/>
    </row>
    <row r="109" spans="1:21" s="314" customFormat="1" ht="17.25" customHeight="1" thickBot="1">
      <c r="A109" s="260" t="s">
        <v>642</v>
      </c>
      <c r="B109" s="647" t="s">
        <v>1038</v>
      </c>
      <c r="C109" s="647"/>
      <c r="D109" s="647"/>
      <c r="E109" s="647"/>
      <c r="F109" s="647"/>
      <c r="G109" s="647"/>
      <c r="H109" s="181"/>
      <c r="I109" s="279">
        <f>I101+I102+I105</f>
        <v>0</v>
      </c>
      <c r="J109" s="280">
        <v>1183</v>
      </c>
      <c r="L109" s="115" t="str">
        <f t="shared" ref="L109:L117" si="3">IF(I109&gt;=0,"OK","ERROR")</f>
        <v>OK</v>
      </c>
      <c r="N109" s="391"/>
    </row>
    <row r="110" spans="1:21" s="314" customFormat="1" ht="17.25" customHeight="1" thickTop="1" thickBot="1">
      <c r="A110" s="260" t="s">
        <v>643</v>
      </c>
      <c r="B110" s="536" t="s">
        <v>1039</v>
      </c>
      <c r="C110" s="536"/>
      <c r="D110" s="536"/>
      <c r="E110" s="536"/>
      <c r="F110" s="536"/>
      <c r="G110" s="536"/>
      <c r="H110" s="181"/>
      <c r="I110" s="279">
        <f>I103+I106</f>
        <v>0</v>
      </c>
      <c r="J110" s="280">
        <v>1184</v>
      </c>
      <c r="L110" s="115" t="str">
        <f t="shared" si="3"/>
        <v>OK</v>
      </c>
      <c r="N110" s="391"/>
    </row>
    <row r="111" spans="1:21" s="314" customFormat="1" ht="33" customHeight="1" thickTop="1">
      <c r="A111" s="272" t="s">
        <v>1476</v>
      </c>
      <c r="B111" s="648" t="s">
        <v>1477</v>
      </c>
      <c r="C111" s="648"/>
      <c r="D111" s="648"/>
      <c r="E111" s="648"/>
      <c r="F111" s="648"/>
      <c r="G111" s="648"/>
      <c r="H111" s="181"/>
      <c r="I111" s="335"/>
      <c r="J111" s="280"/>
      <c r="L111" s="490"/>
      <c r="N111" s="391"/>
      <c r="P111" s="461"/>
    </row>
    <row r="112" spans="1:21" s="314" customFormat="1" ht="30.95" customHeight="1">
      <c r="A112" s="482" t="s">
        <v>1478</v>
      </c>
      <c r="B112" s="647" t="s">
        <v>1479</v>
      </c>
      <c r="C112" s="647"/>
      <c r="D112" s="647"/>
      <c r="E112" s="647"/>
      <c r="F112" s="647"/>
      <c r="G112" s="647"/>
      <c r="H112" s="181"/>
      <c r="I112" s="313"/>
      <c r="J112" s="280">
        <v>1403</v>
      </c>
      <c r="L112" s="115" t="str">
        <f t="shared" ref="L112" si="4">IF(I112&gt;=0,"OK","ERROR")</f>
        <v>OK</v>
      </c>
      <c r="N112" s="391"/>
      <c r="P112" s="461"/>
    </row>
    <row r="113" spans="1:16" s="314" customFormat="1" ht="17.25" customHeight="1">
      <c r="A113" s="260" t="s">
        <v>1480</v>
      </c>
      <c r="B113" s="536" t="s">
        <v>1481</v>
      </c>
      <c r="C113" s="536"/>
      <c r="D113" s="536"/>
      <c r="E113" s="536"/>
      <c r="F113" s="536"/>
      <c r="G113" s="536"/>
      <c r="H113" s="181"/>
      <c r="I113" s="313"/>
      <c r="J113" s="280">
        <v>1404</v>
      </c>
      <c r="L113" s="115" t="str">
        <f>IF(I113&lt;=0,"OK","ERROR")</f>
        <v>OK</v>
      </c>
      <c r="N113" s="391"/>
      <c r="P113" s="461"/>
    </row>
    <row r="114" spans="1:16" s="314" customFormat="1" ht="17.25" customHeight="1" thickBot="1">
      <c r="A114" s="260" t="s">
        <v>1482</v>
      </c>
      <c r="B114" s="536" t="s">
        <v>1483</v>
      </c>
      <c r="C114" s="536"/>
      <c r="D114" s="536"/>
      <c r="E114" s="536"/>
      <c r="F114" s="536"/>
      <c r="G114" s="536"/>
      <c r="H114" s="181"/>
      <c r="I114" s="309">
        <f>SUM(I112:I113)</f>
        <v>0</v>
      </c>
      <c r="J114" s="280">
        <v>1405</v>
      </c>
      <c r="L114" s="490"/>
      <c r="N114" s="391"/>
      <c r="P114" s="461"/>
    </row>
    <row r="115" spans="1:16" s="314" customFormat="1" ht="33" customHeight="1" thickTop="1">
      <c r="A115" s="272" t="s">
        <v>1484</v>
      </c>
      <c r="B115" s="649" t="s">
        <v>1485</v>
      </c>
      <c r="C115" s="649"/>
      <c r="D115" s="649"/>
      <c r="E115" s="649"/>
      <c r="F115" s="649"/>
      <c r="G115" s="649"/>
      <c r="H115" s="181"/>
      <c r="I115" s="335"/>
      <c r="J115" s="280"/>
      <c r="L115" s="490"/>
      <c r="N115" s="391"/>
      <c r="P115" s="461"/>
    </row>
    <row r="116" spans="1:16" s="314" customFormat="1" ht="17.25" customHeight="1" thickBot="1">
      <c r="A116" s="260" t="s">
        <v>646</v>
      </c>
      <c r="B116" s="647" t="s">
        <v>1486</v>
      </c>
      <c r="C116" s="647"/>
      <c r="D116" s="647"/>
      <c r="E116" s="647"/>
      <c r="F116" s="647"/>
      <c r="G116" s="647"/>
      <c r="H116" s="181"/>
      <c r="I116" s="309">
        <f>I254</f>
        <v>0</v>
      </c>
      <c r="J116" s="280">
        <v>1185</v>
      </c>
      <c r="L116" s="115" t="str">
        <f t="shared" si="3"/>
        <v>OK</v>
      </c>
      <c r="N116" s="391"/>
    </row>
    <row r="117" spans="1:16" s="314" customFormat="1" ht="17.25" customHeight="1" thickTop="1" thickBot="1">
      <c r="A117" s="260" t="s">
        <v>647</v>
      </c>
      <c r="B117" s="536" t="s">
        <v>1487</v>
      </c>
      <c r="C117" s="536"/>
      <c r="D117" s="536"/>
      <c r="E117" s="536"/>
      <c r="F117" s="536"/>
      <c r="G117" s="536"/>
      <c r="H117" s="181"/>
      <c r="I117" s="309">
        <f>I278</f>
        <v>0</v>
      </c>
      <c r="J117" s="280">
        <v>1186</v>
      </c>
      <c r="L117" s="115" t="str">
        <f t="shared" si="3"/>
        <v>OK</v>
      </c>
      <c r="N117" s="391"/>
    </row>
    <row r="118" spans="1:16" s="314" customFormat="1" ht="33" customHeight="1" thickTop="1">
      <c r="A118" s="272" t="s">
        <v>648</v>
      </c>
      <c r="B118" s="645" t="s">
        <v>1040</v>
      </c>
      <c r="C118" s="645"/>
      <c r="D118" s="645"/>
      <c r="E118" s="645"/>
      <c r="F118" s="645"/>
      <c r="G118" s="645"/>
      <c r="H118" s="181"/>
      <c r="I118" s="258"/>
      <c r="J118" s="280"/>
      <c r="K118" s="316"/>
      <c r="L118" s="490"/>
      <c r="N118" s="391"/>
    </row>
    <row r="119" spans="1:16" s="314" customFormat="1" ht="17.25" customHeight="1" thickBot="1">
      <c r="A119" s="268" t="s">
        <v>1488</v>
      </c>
      <c r="B119" s="647" t="s">
        <v>1489</v>
      </c>
      <c r="C119" s="647"/>
      <c r="D119" s="647"/>
      <c r="E119" s="647"/>
      <c r="F119" s="647"/>
      <c r="G119" s="647"/>
      <c r="H119" s="181"/>
      <c r="I119" s="279">
        <f>I114</f>
        <v>0</v>
      </c>
      <c r="J119" s="280">
        <v>1406</v>
      </c>
      <c r="K119" s="316"/>
      <c r="L119" s="490"/>
      <c r="N119" s="391"/>
      <c r="P119" s="461"/>
    </row>
    <row r="120" spans="1:16" s="314" customFormat="1" ht="17.25" customHeight="1" thickTop="1">
      <c r="A120" s="268" t="s">
        <v>649</v>
      </c>
      <c r="B120" s="647" t="s">
        <v>1490</v>
      </c>
      <c r="C120" s="647"/>
      <c r="D120" s="647"/>
      <c r="E120" s="647"/>
      <c r="F120" s="647"/>
      <c r="G120" s="647"/>
      <c r="H120" s="181"/>
      <c r="I120" s="313"/>
      <c r="J120" s="280">
        <v>1187</v>
      </c>
      <c r="L120" s="115" t="str">
        <f t="shared" ref="L120:L141" si="5">IF(I120&gt;=0,"OK","ERROR")</f>
        <v>OK</v>
      </c>
      <c r="N120" s="391"/>
    </row>
    <row r="121" spans="1:16" s="314" customFormat="1" ht="28.5" customHeight="1">
      <c r="A121" s="268" t="s">
        <v>662</v>
      </c>
      <c r="B121" s="536" t="s">
        <v>1491</v>
      </c>
      <c r="C121" s="536"/>
      <c r="D121" s="536"/>
      <c r="E121" s="536"/>
      <c r="F121" s="536"/>
      <c r="G121" s="536"/>
      <c r="H121" s="181"/>
      <c r="I121" s="313"/>
      <c r="J121" s="280">
        <v>1188</v>
      </c>
      <c r="L121" s="115" t="str">
        <f t="shared" si="5"/>
        <v>OK</v>
      </c>
      <c r="N121" s="391"/>
    </row>
    <row r="122" spans="1:16" s="314" customFormat="1" ht="17.25" customHeight="1" thickBot="1">
      <c r="A122" s="268" t="s">
        <v>650</v>
      </c>
      <c r="B122" s="643" t="s">
        <v>1041</v>
      </c>
      <c r="C122" s="643"/>
      <c r="D122" s="643"/>
      <c r="E122" s="643"/>
      <c r="F122" s="643"/>
      <c r="G122" s="643"/>
      <c r="H122" s="181"/>
      <c r="I122" s="279">
        <f>I287</f>
        <v>0</v>
      </c>
      <c r="J122" s="280">
        <v>1189</v>
      </c>
      <c r="L122" s="490"/>
      <c r="M122" s="490"/>
      <c r="N122" s="490"/>
    </row>
    <row r="123" spans="1:16" s="314" customFormat="1" ht="17.25" customHeight="1" thickTop="1" thickBot="1">
      <c r="A123" s="260" t="s">
        <v>651</v>
      </c>
      <c r="B123" s="643" t="s">
        <v>1042</v>
      </c>
      <c r="C123" s="643"/>
      <c r="D123" s="643"/>
      <c r="E123" s="643"/>
      <c r="F123" s="643"/>
      <c r="G123" s="643"/>
      <c r="H123" s="181"/>
      <c r="I123" s="279">
        <f>I300-I287</f>
        <v>0</v>
      </c>
      <c r="J123" s="280">
        <v>1190</v>
      </c>
      <c r="L123" s="115" t="str">
        <f>IF(I123&lt;=0,"OK","ERROR")</f>
        <v>OK</v>
      </c>
      <c r="N123" s="391"/>
    </row>
    <row r="124" spans="1:16" s="314" customFormat="1" ht="17.25" customHeight="1" thickTop="1" thickBot="1">
      <c r="A124" s="268" t="s">
        <v>652</v>
      </c>
      <c r="B124" s="646" t="s">
        <v>1043</v>
      </c>
      <c r="C124" s="646"/>
      <c r="D124" s="646"/>
      <c r="E124" s="646"/>
      <c r="F124" s="646"/>
      <c r="G124" s="646"/>
      <c r="H124" s="181"/>
      <c r="I124" s="279">
        <f>I122+I123</f>
        <v>0</v>
      </c>
      <c r="J124" s="280">
        <v>1191</v>
      </c>
      <c r="N124" s="391"/>
    </row>
    <row r="125" spans="1:16" s="314" customFormat="1" ht="28.5" customHeight="1" thickTop="1">
      <c r="A125" s="268" t="s">
        <v>663</v>
      </c>
      <c r="B125" s="620" t="s">
        <v>1044</v>
      </c>
      <c r="C125" s="620"/>
      <c r="D125" s="620"/>
      <c r="E125" s="620"/>
      <c r="F125" s="620"/>
      <c r="G125" s="620"/>
      <c r="H125" s="181"/>
      <c r="I125" s="313"/>
      <c r="J125" s="280">
        <v>1192</v>
      </c>
      <c r="L125" s="115" t="str">
        <f t="shared" si="5"/>
        <v>OK</v>
      </c>
      <c r="N125" s="391"/>
    </row>
    <row r="126" spans="1:16" s="314" customFormat="1" ht="17.25" customHeight="1" thickBot="1">
      <c r="A126" s="260" t="s">
        <v>1045</v>
      </c>
      <c r="B126" s="646" t="s">
        <v>1046</v>
      </c>
      <c r="C126" s="646"/>
      <c r="D126" s="646"/>
      <c r="E126" s="646"/>
      <c r="F126" s="646"/>
      <c r="G126" s="646"/>
      <c r="H126" s="181"/>
      <c r="I126" s="279">
        <f>I309</f>
        <v>0</v>
      </c>
      <c r="J126" s="280">
        <v>1193</v>
      </c>
      <c r="L126" s="490"/>
      <c r="M126" s="490"/>
      <c r="N126" s="490"/>
    </row>
    <row r="127" spans="1:16" s="314" customFormat="1" ht="17.25" customHeight="1" thickTop="1" thickBot="1">
      <c r="A127" s="260" t="s">
        <v>653</v>
      </c>
      <c r="B127" s="646" t="s">
        <v>1042</v>
      </c>
      <c r="C127" s="646"/>
      <c r="D127" s="646"/>
      <c r="E127" s="646"/>
      <c r="F127" s="646"/>
      <c r="G127" s="646"/>
      <c r="H127" s="181"/>
      <c r="I127" s="279">
        <f>I322-I309</f>
        <v>0</v>
      </c>
      <c r="J127" s="280">
        <v>1194</v>
      </c>
      <c r="L127" s="115" t="str">
        <f>IF(I127&lt;=0,"OK","ERROR")</f>
        <v>OK</v>
      </c>
      <c r="N127" s="391"/>
    </row>
    <row r="128" spans="1:16" s="314" customFormat="1" ht="28.5" customHeight="1" thickTop="1" thickBot="1">
      <c r="A128" s="268" t="s">
        <v>664</v>
      </c>
      <c r="B128" s="646" t="s">
        <v>1047</v>
      </c>
      <c r="C128" s="646"/>
      <c r="D128" s="646"/>
      <c r="E128" s="646"/>
      <c r="F128" s="646"/>
      <c r="G128" s="646"/>
      <c r="H128" s="181"/>
      <c r="I128" s="279">
        <f>I126+I127</f>
        <v>0</v>
      </c>
      <c r="J128" s="280">
        <v>1195</v>
      </c>
      <c r="N128" s="391"/>
    </row>
    <row r="129" spans="1:21" s="314" customFormat="1" ht="28.5" customHeight="1" thickTop="1">
      <c r="A129" s="268" t="s">
        <v>665</v>
      </c>
      <c r="B129" s="620" t="s">
        <v>1048</v>
      </c>
      <c r="C129" s="620"/>
      <c r="D129" s="620"/>
      <c r="E129" s="620"/>
      <c r="F129" s="620"/>
      <c r="G129" s="620"/>
      <c r="H129" s="181"/>
      <c r="I129" s="313"/>
      <c r="J129" s="280">
        <v>1196</v>
      </c>
      <c r="L129" s="115" t="str">
        <f t="shared" si="5"/>
        <v>OK</v>
      </c>
      <c r="N129" s="391"/>
    </row>
    <row r="130" spans="1:21" s="314" customFormat="1" ht="17.25" customHeight="1" thickBot="1">
      <c r="A130" s="268" t="s">
        <v>1492</v>
      </c>
      <c r="B130" s="620" t="s">
        <v>1493</v>
      </c>
      <c r="C130" s="545"/>
      <c r="D130" s="545"/>
      <c r="E130" s="545"/>
      <c r="F130" s="545"/>
      <c r="G130" s="545"/>
      <c r="H130" s="181"/>
      <c r="I130" s="279">
        <f>I254</f>
        <v>0</v>
      </c>
      <c r="J130" s="280">
        <v>1407</v>
      </c>
      <c r="N130" s="391"/>
      <c r="P130" s="461"/>
    </row>
    <row r="131" spans="1:21" s="314" customFormat="1" ht="17.25" customHeight="1" thickTop="1" thickBot="1">
      <c r="A131" s="268" t="s">
        <v>1494</v>
      </c>
      <c r="B131" s="536" t="s">
        <v>1495</v>
      </c>
      <c r="C131" s="536"/>
      <c r="D131" s="536"/>
      <c r="E131" s="536"/>
      <c r="F131" s="536"/>
      <c r="G131" s="536"/>
      <c r="H131" s="181"/>
      <c r="I131" s="279">
        <f>-I379</f>
        <v>0</v>
      </c>
      <c r="J131" s="280">
        <v>1408</v>
      </c>
      <c r="N131" s="391"/>
      <c r="P131" s="461"/>
    </row>
    <row r="132" spans="1:21" s="314" customFormat="1" ht="17.25" customHeight="1" thickTop="1" thickBot="1">
      <c r="A132" s="268" t="s">
        <v>1496</v>
      </c>
      <c r="B132" s="620" t="s">
        <v>1497</v>
      </c>
      <c r="C132" s="545"/>
      <c r="D132" s="545"/>
      <c r="E132" s="545"/>
      <c r="F132" s="545"/>
      <c r="G132" s="545"/>
      <c r="H132" s="181"/>
      <c r="I132" s="279">
        <f>I278</f>
        <v>0</v>
      </c>
      <c r="J132" s="280">
        <v>1409</v>
      </c>
      <c r="N132" s="391"/>
      <c r="P132" s="461"/>
    </row>
    <row r="133" spans="1:21" s="314" customFormat="1" ht="17.25" customHeight="1" thickTop="1" thickBot="1">
      <c r="A133" s="268" t="s">
        <v>1498</v>
      </c>
      <c r="B133" s="536" t="s">
        <v>1495</v>
      </c>
      <c r="C133" s="536"/>
      <c r="D133" s="536"/>
      <c r="E133" s="536"/>
      <c r="F133" s="536"/>
      <c r="G133" s="536"/>
      <c r="H133" s="181"/>
      <c r="I133" s="279">
        <f>-I380</f>
        <v>0</v>
      </c>
      <c r="J133" s="280">
        <v>1410</v>
      </c>
      <c r="N133" s="391"/>
      <c r="P133" s="461"/>
    </row>
    <row r="134" spans="1:21" s="314" customFormat="1" ht="33" customHeight="1" thickTop="1" thickBot="1">
      <c r="A134" s="272" t="s">
        <v>654</v>
      </c>
      <c r="B134" s="629" t="s">
        <v>1049</v>
      </c>
      <c r="C134" s="629"/>
      <c r="D134" s="629"/>
      <c r="E134" s="629"/>
      <c r="F134" s="629"/>
      <c r="G134" s="629"/>
      <c r="H134" s="181"/>
      <c r="I134" s="309">
        <f>I120+I121+I124+I125+I128+I129+SUM(I130:I133)+I119</f>
        <v>0</v>
      </c>
      <c r="J134" s="280">
        <v>1197</v>
      </c>
      <c r="L134" s="115" t="str">
        <f t="shared" si="5"/>
        <v>OK</v>
      </c>
      <c r="N134" s="391"/>
    </row>
    <row r="135" spans="1:21" s="314" customFormat="1" ht="17.25" customHeight="1" thickTop="1">
      <c r="A135" s="260" t="s">
        <v>655</v>
      </c>
      <c r="B135" s="620" t="s">
        <v>1050</v>
      </c>
      <c r="C135" s="620"/>
      <c r="D135" s="620"/>
      <c r="E135" s="620"/>
      <c r="F135" s="620"/>
      <c r="G135" s="620"/>
      <c r="H135" s="181"/>
      <c r="I135" s="313"/>
      <c r="J135" s="280">
        <v>1198</v>
      </c>
      <c r="L135" s="115" t="str">
        <f t="shared" si="5"/>
        <v>OK</v>
      </c>
      <c r="N135" s="490"/>
    </row>
    <row r="136" spans="1:21" s="314" customFormat="1" ht="17.25" customHeight="1">
      <c r="A136" s="260" t="s">
        <v>656</v>
      </c>
      <c r="B136" s="620" t="s">
        <v>1051</v>
      </c>
      <c r="C136" s="620"/>
      <c r="D136" s="620"/>
      <c r="E136" s="620"/>
      <c r="F136" s="620"/>
      <c r="G136" s="620"/>
      <c r="H136" s="181"/>
      <c r="I136" s="313"/>
      <c r="J136" s="280">
        <v>1199</v>
      </c>
      <c r="L136" s="115" t="str">
        <f t="shared" si="5"/>
        <v>OK</v>
      </c>
      <c r="N136" s="490"/>
    </row>
    <row r="137" spans="1:21" s="314" customFormat="1" ht="17.25" customHeight="1">
      <c r="A137" s="260" t="s">
        <v>657</v>
      </c>
      <c r="B137" s="620" t="s">
        <v>1052</v>
      </c>
      <c r="C137" s="620"/>
      <c r="D137" s="620"/>
      <c r="E137" s="620"/>
      <c r="F137" s="620"/>
      <c r="G137" s="620"/>
      <c r="H137" s="181"/>
      <c r="I137" s="313"/>
      <c r="J137" s="280">
        <v>1200</v>
      </c>
      <c r="L137" s="115" t="str">
        <f t="shared" si="5"/>
        <v>OK</v>
      </c>
      <c r="N137" s="490"/>
    </row>
    <row r="138" spans="1:21" s="314" customFormat="1" ht="17.25" customHeight="1">
      <c r="A138" s="260" t="s">
        <v>658</v>
      </c>
      <c r="B138" s="620" t="s">
        <v>1053</v>
      </c>
      <c r="C138" s="620"/>
      <c r="D138" s="620"/>
      <c r="E138" s="620"/>
      <c r="F138" s="620"/>
      <c r="G138" s="620"/>
      <c r="H138" s="181"/>
      <c r="I138" s="313"/>
      <c r="J138" s="280">
        <v>1201</v>
      </c>
      <c r="L138" s="115" t="str">
        <f t="shared" si="5"/>
        <v>OK</v>
      </c>
      <c r="N138" s="490"/>
    </row>
    <row r="139" spans="1:21" s="314" customFormat="1" ht="17.25" customHeight="1">
      <c r="A139" s="260" t="s">
        <v>659</v>
      </c>
      <c r="B139" s="620" t="s">
        <v>1054</v>
      </c>
      <c r="C139" s="620"/>
      <c r="D139" s="620"/>
      <c r="E139" s="620"/>
      <c r="F139" s="620"/>
      <c r="G139" s="620"/>
      <c r="H139" s="181"/>
      <c r="I139" s="313"/>
      <c r="J139" s="280">
        <v>1202</v>
      </c>
      <c r="L139" s="115" t="str">
        <f t="shared" si="5"/>
        <v>OK</v>
      </c>
      <c r="N139" s="490"/>
    </row>
    <row r="140" spans="1:21" s="314" customFormat="1" ht="33" customHeight="1" thickBot="1">
      <c r="A140" s="272" t="s">
        <v>660</v>
      </c>
      <c r="B140" s="629" t="s">
        <v>1055</v>
      </c>
      <c r="C140" s="629"/>
      <c r="D140" s="629"/>
      <c r="E140" s="629"/>
      <c r="F140" s="629"/>
      <c r="G140" s="629"/>
      <c r="H140" s="181"/>
      <c r="I140" s="279">
        <f>I134+I135+I136+I137+I138+I139</f>
        <v>0</v>
      </c>
      <c r="J140" s="280">
        <v>1203</v>
      </c>
      <c r="L140" s="115" t="str">
        <f t="shared" si="5"/>
        <v>OK</v>
      </c>
      <c r="N140" s="490"/>
    </row>
    <row r="141" spans="1:21" s="314" customFormat="1" ht="33" customHeight="1" thickTop="1" thickBot="1">
      <c r="A141" s="272" t="s">
        <v>661</v>
      </c>
      <c r="B141" s="629" t="s">
        <v>1056</v>
      </c>
      <c r="C141" s="629"/>
      <c r="D141" s="629"/>
      <c r="E141" s="629"/>
      <c r="F141" s="629"/>
      <c r="G141" s="629"/>
      <c r="H141" s="181"/>
      <c r="I141" s="279">
        <f>SUM(I135:I139)</f>
        <v>0</v>
      </c>
      <c r="J141" s="280">
        <v>1204</v>
      </c>
      <c r="L141" s="115" t="str">
        <f t="shared" si="5"/>
        <v>OK</v>
      </c>
      <c r="N141" s="490"/>
    </row>
    <row r="142" spans="1:21" s="490" customFormat="1" ht="6" customHeight="1" thickTop="1">
      <c r="A142" s="424"/>
      <c r="B142" s="615"/>
      <c r="C142" s="615"/>
      <c r="D142" s="615"/>
      <c r="E142" s="615"/>
      <c r="F142" s="615"/>
      <c r="G142" s="615"/>
      <c r="H142" s="8"/>
      <c r="I142" s="277"/>
      <c r="J142" s="496"/>
      <c r="K142" s="211"/>
      <c r="L142" s="285"/>
      <c r="N142" s="460"/>
      <c r="O142" s="460"/>
      <c r="P142" s="460"/>
      <c r="Q142" s="460"/>
      <c r="R142" s="460"/>
      <c r="S142" s="460"/>
      <c r="T142" s="460"/>
      <c r="U142" s="460"/>
    </row>
    <row r="143" spans="1:21" s="490" customFormat="1" ht="6" customHeight="1">
      <c r="A143" s="260"/>
      <c r="B143" s="527"/>
      <c r="C143" s="527"/>
      <c r="D143" s="527"/>
      <c r="E143" s="527"/>
      <c r="F143" s="527"/>
      <c r="G143" s="527"/>
      <c r="H143" s="134"/>
      <c r="I143" s="135"/>
      <c r="J143" s="494"/>
      <c r="K143" s="5"/>
      <c r="L143" s="285"/>
      <c r="N143" s="460"/>
      <c r="O143" s="460"/>
      <c r="P143" s="460"/>
      <c r="Q143" s="460"/>
      <c r="R143" s="460"/>
      <c r="S143" s="460"/>
      <c r="T143" s="460"/>
      <c r="U143" s="460"/>
    </row>
    <row r="144" spans="1:21" ht="33" customHeight="1">
      <c r="A144" s="273" t="s">
        <v>1057</v>
      </c>
      <c r="B144" s="645" t="s">
        <v>1674</v>
      </c>
      <c r="C144" s="645"/>
      <c r="D144" s="645"/>
      <c r="E144" s="645"/>
      <c r="F144" s="645"/>
      <c r="G144" s="645"/>
      <c r="H144" s="181"/>
      <c r="I144" s="224"/>
      <c r="J144" s="280"/>
      <c r="K144" s="490"/>
    </row>
    <row r="145" spans="1:16" ht="28.5" customHeight="1" thickBot="1">
      <c r="A145" s="268" t="s">
        <v>1058</v>
      </c>
      <c r="B145" s="639" t="s">
        <v>1499</v>
      </c>
      <c r="C145" s="640"/>
      <c r="D145" s="640"/>
      <c r="E145" s="640"/>
      <c r="F145" s="640"/>
      <c r="G145" s="640"/>
      <c r="H145" s="181"/>
      <c r="I145" s="279">
        <f>SUM(I147:I154)</f>
        <v>0</v>
      </c>
      <c r="J145" s="494">
        <v>350</v>
      </c>
      <c r="K145" s="490"/>
      <c r="L145" s="490"/>
    </row>
    <row r="146" spans="1:16" s="321" customFormat="1" ht="7.5" customHeight="1" thickTop="1">
      <c r="A146" s="317"/>
      <c r="B146" s="644"/>
      <c r="C146" s="644"/>
      <c r="D146" s="644"/>
      <c r="E146" s="644"/>
      <c r="F146" s="644"/>
      <c r="G146" s="644"/>
      <c r="H146" s="318"/>
      <c r="I146" s="319"/>
      <c r="J146" s="497"/>
      <c r="K146" s="320"/>
      <c r="L146" s="320"/>
      <c r="M146" s="320"/>
    </row>
    <row r="147" spans="1:16" ht="17.25" customHeight="1">
      <c r="A147" s="268" t="s">
        <v>559</v>
      </c>
      <c r="B147" s="599" t="s">
        <v>1059</v>
      </c>
      <c r="C147" s="600"/>
      <c r="D147" s="600"/>
      <c r="E147" s="600"/>
      <c r="F147" s="600"/>
      <c r="G147" s="600"/>
      <c r="H147" s="181"/>
      <c r="I147" s="186"/>
      <c r="J147" s="495">
        <v>1005</v>
      </c>
      <c r="K147" s="490"/>
      <c r="L147" s="115" t="str">
        <f>IF(I147&lt;=0,"OK","ERROR")</f>
        <v>OK</v>
      </c>
    </row>
    <row r="148" spans="1:16" ht="17.25" customHeight="1">
      <c r="A148" s="268" t="s">
        <v>560</v>
      </c>
      <c r="B148" s="643" t="s">
        <v>1060</v>
      </c>
      <c r="C148" s="643"/>
      <c r="D148" s="643"/>
      <c r="E148" s="643"/>
      <c r="F148" s="643"/>
      <c r="G148" s="643"/>
      <c r="H148" s="181"/>
      <c r="I148" s="186"/>
      <c r="J148" s="280">
        <v>1006</v>
      </c>
      <c r="K148" s="490"/>
      <c r="L148" s="115" t="str">
        <f t="shared" ref="L148:L154" si="6">IF(I148&lt;=0,"OK","ERROR")</f>
        <v>OK</v>
      </c>
    </row>
    <row r="149" spans="1:16" ht="17.25" customHeight="1">
      <c r="A149" s="268" t="s">
        <v>1500</v>
      </c>
      <c r="B149" s="643" t="s">
        <v>1501</v>
      </c>
      <c r="C149" s="643"/>
      <c r="D149" s="643"/>
      <c r="E149" s="643"/>
      <c r="F149" s="643"/>
      <c r="G149" s="643"/>
      <c r="H149" s="181"/>
      <c r="I149" s="186"/>
      <c r="J149" s="280">
        <v>1411</v>
      </c>
      <c r="K149" s="490"/>
      <c r="L149" s="115" t="str">
        <f t="shared" si="6"/>
        <v>OK</v>
      </c>
      <c r="P149" s="461"/>
    </row>
    <row r="150" spans="1:16" ht="17.25" customHeight="1">
      <c r="A150" s="268" t="s">
        <v>626</v>
      </c>
      <c r="B150" s="643" t="s">
        <v>1061</v>
      </c>
      <c r="C150" s="643"/>
      <c r="D150" s="643"/>
      <c r="E150" s="643"/>
      <c r="F150" s="643"/>
      <c r="G150" s="643"/>
      <c r="H150" s="181"/>
      <c r="I150" s="186"/>
      <c r="J150" s="280">
        <v>1205</v>
      </c>
      <c r="K150" s="490"/>
      <c r="L150" s="115" t="str">
        <f t="shared" si="6"/>
        <v>OK</v>
      </c>
      <c r="N150" s="488"/>
    </row>
    <row r="151" spans="1:16" ht="17.25" customHeight="1">
      <c r="A151" s="268" t="s">
        <v>627</v>
      </c>
      <c r="B151" s="643" t="s">
        <v>1062</v>
      </c>
      <c r="C151" s="643"/>
      <c r="D151" s="643"/>
      <c r="E151" s="643"/>
      <c r="F151" s="643"/>
      <c r="G151" s="643"/>
      <c r="H151" s="181"/>
      <c r="I151" s="186"/>
      <c r="J151" s="280">
        <v>1206</v>
      </c>
      <c r="K151" s="490"/>
      <c r="L151" s="115" t="str">
        <f t="shared" si="6"/>
        <v>OK</v>
      </c>
      <c r="N151" s="488"/>
    </row>
    <row r="152" spans="1:16" ht="17.25" customHeight="1">
      <c r="A152" s="268" t="s">
        <v>561</v>
      </c>
      <c r="B152" s="643" t="s">
        <v>1502</v>
      </c>
      <c r="C152" s="643"/>
      <c r="D152" s="643"/>
      <c r="E152" s="643"/>
      <c r="F152" s="643"/>
      <c r="G152" s="643"/>
      <c r="H152" s="181"/>
      <c r="I152" s="186"/>
      <c r="J152" s="280">
        <v>1007</v>
      </c>
      <c r="K152" s="490"/>
      <c r="L152" s="115" t="str">
        <f t="shared" si="6"/>
        <v>OK</v>
      </c>
    </row>
    <row r="153" spans="1:16" ht="27.75" customHeight="1">
      <c r="A153" s="268" t="s">
        <v>674</v>
      </c>
      <c r="B153" s="643" t="s">
        <v>1063</v>
      </c>
      <c r="C153" s="643"/>
      <c r="D153" s="643"/>
      <c r="E153" s="643"/>
      <c r="F153" s="643"/>
      <c r="G153" s="643"/>
      <c r="H153" s="181"/>
      <c r="I153" s="186"/>
      <c r="J153" s="280">
        <v>1207</v>
      </c>
      <c r="K153" s="490"/>
      <c r="L153" s="115" t="str">
        <f t="shared" si="6"/>
        <v>OK</v>
      </c>
      <c r="N153" s="488"/>
    </row>
    <row r="154" spans="1:16" ht="26.25" customHeight="1">
      <c r="A154" s="268" t="s">
        <v>675</v>
      </c>
      <c r="B154" s="643" t="s">
        <v>1064</v>
      </c>
      <c r="C154" s="643"/>
      <c r="D154" s="643"/>
      <c r="E154" s="643"/>
      <c r="F154" s="643"/>
      <c r="G154" s="643"/>
      <c r="H154" s="181"/>
      <c r="I154" s="186"/>
      <c r="J154" s="280">
        <v>1208</v>
      </c>
      <c r="K154" s="490"/>
      <c r="L154" s="115" t="str">
        <f t="shared" si="6"/>
        <v>OK</v>
      </c>
      <c r="N154" s="488"/>
    </row>
    <row r="155" spans="1:16" ht="22.5" customHeight="1">
      <c r="A155" s="322" t="s">
        <v>666</v>
      </c>
      <c r="B155" s="638" t="s">
        <v>1065</v>
      </c>
      <c r="C155" s="638"/>
      <c r="D155" s="638"/>
      <c r="E155" s="638"/>
      <c r="F155" s="638"/>
      <c r="G155" s="638"/>
      <c r="H155" s="181"/>
      <c r="I155" s="282"/>
      <c r="J155" s="280"/>
      <c r="K155" s="491"/>
      <c r="L155" s="490"/>
      <c r="N155" s="488"/>
    </row>
    <row r="156" spans="1:16" ht="17.25" customHeight="1" thickBot="1">
      <c r="A156" s="322" t="s">
        <v>667</v>
      </c>
      <c r="B156" s="599" t="s">
        <v>1675</v>
      </c>
      <c r="C156" s="599"/>
      <c r="D156" s="599"/>
      <c r="E156" s="599"/>
      <c r="F156" s="599"/>
      <c r="G156" s="599"/>
      <c r="H156" s="181"/>
      <c r="I156" s="279">
        <f>I109+I147</f>
        <v>0</v>
      </c>
      <c r="J156" s="280">
        <v>1209</v>
      </c>
      <c r="K156" s="490"/>
      <c r="L156" s="115" t="str">
        <f t="shared" ref="L156:L163" si="7">IF(I156&gt;=0,"OK","ERROR")</f>
        <v>OK</v>
      </c>
      <c r="N156" s="488"/>
    </row>
    <row r="157" spans="1:16" ht="17.25" customHeight="1" thickTop="1" thickBot="1">
      <c r="A157" s="322" t="s">
        <v>668</v>
      </c>
      <c r="B157" s="643" t="s">
        <v>1319</v>
      </c>
      <c r="C157" s="643"/>
      <c r="D157" s="643"/>
      <c r="E157" s="643"/>
      <c r="F157" s="643"/>
      <c r="G157" s="643"/>
      <c r="H157" s="181"/>
      <c r="I157" s="279">
        <f>I110+I148</f>
        <v>0</v>
      </c>
      <c r="J157" s="280">
        <v>1210</v>
      </c>
      <c r="K157" s="490"/>
      <c r="L157" s="115" t="str">
        <f t="shared" si="7"/>
        <v>OK</v>
      </c>
      <c r="N157" s="488"/>
    </row>
    <row r="158" spans="1:16" ht="17.25" customHeight="1" thickTop="1" thickBot="1">
      <c r="A158" s="268" t="s">
        <v>1503</v>
      </c>
      <c r="B158" s="643" t="s">
        <v>1504</v>
      </c>
      <c r="C158" s="643"/>
      <c r="D158" s="643"/>
      <c r="E158" s="643"/>
      <c r="F158" s="643"/>
      <c r="G158" s="643"/>
      <c r="H158" s="181"/>
      <c r="I158" s="309">
        <f>I114+I149</f>
        <v>0</v>
      </c>
      <c r="J158" s="280">
        <v>1412</v>
      </c>
      <c r="K158" s="490"/>
      <c r="L158" s="115" t="str">
        <f>IF(I158&gt;=0,"OK","ERROR")</f>
        <v>OK</v>
      </c>
      <c r="N158" s="488"/>
      <c r="P158" s="461"/>
    </row>
    <row r="159" spans="1:16" ht="17.25" customHeight="1" thickTop="1" thickBot="1">
      <c r="A159" s="322" t="s">
        <v>669</v>
      </c>
      <c r="B159" s="643" t="s">
        <v>1320</v>
      </c>
      <c r="C159" s="643"/>
      <c r="D159" s="643"/>
      <c r="E159" s="643"/>
      <c r="F159" s="643"/>
      <c r="G159" s="643"/>
      <c r="H159" s="181"/>
      <c r="I159" s="279">
        <f>I116+I150</f>
        <v>0</v>
      </c>
      <c r="J159" s="280">
        <v>1211</v>
      </c>
      <c r="K159" s="490"/>
      <c r="L159" s="115" t="str">
        <f t="shared" si="7"/>
        <v>OK</v>
      </c>
      <c r="N159" s="488"/>
    </row>
    <row r="160" spans="1:16" ht="17.25" customHeight="1" thickTop="1" thickBot="1">
      <c r="A160" s="322" t="s">
        <v>670</v>
      </c>
      <c r="B160" s="643" t="s">
        <v>1066</v>
      </c>
      <c r="C160" s="643"/>
      <c r="D160" s="643"/>
      <c r="E160" s="643"/>
      <c r="F160" s="643"/>
      <c r="G160" s="643"/>
      <c r="H160" s="181"/>
      <c r="I160" s="279">
        <f>I117+I151</f>
        <v>0</v>
      </c>
      <c r="J160" s="280">
        <v>1212</v>
      </c>
      <c r="K160" s="490"/>
      <c r="L160" s="115" t="str">
        <f t="shared" si="7"/>
        <v>OK</v>
      </c>
      <c r="N160" s="488"/>
    </row>
    <row r="161" spans="1:16" ht="17.25" customHeight="1" thickTop="1" thickBot="1">
      <c r="A161" s="322" t="s">
        <v>671</v>
      </c>
      <c r="B161" s="643" t="s">
        <v>1505</v>
      </c>
      <c r="C161" s="643"/>
      <c r="D161" s="643"/>
      <c r="E161" s="643"/>
      <c r="F161" s="643"/>
      <c r="G161" s="643"/>
      <c r="H161" s="181"/>
      <c r="I161" s="279">
        <f>I120+I121+I152</f>
        <v>0</v>
      </c>
      <c r="J161" s="280">
        <v>1213</v>
      </c>
      <c r="K161" s="490"/>
      <c r="L161" s="115" t="str">
        <f t="shared" si="7"/>
        <v>OK</v>
      </c>
      <c r="N161" s="488"/>
    </row>
    <row r="162" spans="1:16" ht="17.25" customHeight="1" thickTop="1" thickBot="1">
      <c r="A162" s="322" t="s">
        <v>672</v>
      </c>
      <c r="B162" s="643" t="s">
        <v>1067</v>
      </c>
      <c r="C162" s="643"/>
      <c r="D162" s="643"/>
      <c r="E162" s="643"/>
      <c r="F162" s="643"/>
      <c r="G162" s="643"/>
      <c r="H162" s="181"/>
      <c r="I162" s="279">
        <f>I124+I125+I153</f>
        <v>0</v>
      </c>
      <c r="J162" s="280">
        <v>1214</v>
      </c>
      <c r="K162" s="490"/>
      <c r="L162" s="115" t="str">
        <f t="shared" si="7"/>
        <v>OK</v>
      </c>
      <c r="N162" s="488"/>
    </row>
    <row r="163" spans="1:16" ht="17.25" customHeight="1" thickTop="1" thickBot="1">
      <c r="A163" s="322" t="s">
        <v>673</v>
      </c>
      <c r="B163" s="643" t="s">
        <v>1068</v>
      </c>
      <c r="C163" s="643"/>
      <c r="D163" s="643"/>
      <c r="E163" s="643"/>
      <c r="F163" s="643"/>
      <c r="G163" s="643"/>
      <c r="H163" s="181"/>
      <c r="I163" s="279">
        <f>I128+I129+I154</f>
        <v>0</v>
      </c>
      <c r="J163" s="280">
        <v>1215</v>
      </c>
      <c r="K163" s="490"/>
      <c r="L163" s="115" t="str">
        <f t="shared" si="7"/>
        <v>OK</v>
      </c>
      <c r="N163" s="488"/>
    </row>
    <row r="164" spans="1:16" ht="28.5" customHeight="1" thickTop="1">
      <c r="A164" s="322" t="s">
        <v>1069</v>
      </c>
      <c r="B164" s="638" t="s">
        <v>1070</v>
      </c>
      <c r="C164" s="638"/>
      <c r="D164" s="638"/>
      <c r="E164" s="638"/>
      <c r="F164" s="638"/>
      <c r="G164" s="638"/>
      <c r="H164" s="181"/>
      <c r="I164" s="323"/>
      <c r="J164" s="280"/>
      <c r="K164" s="491"/>
      <c r="L164" s="490"/>
      <c r="N164" s="490"/>
    </row>
    <row r="165" spans="1:16" ht="28.5" customHeight="1">
      <c r="A165" s="268" t="s">
        <v>387</v>
      </c>
      <c r="B165" s="639" t="s">
        <v>1506</v>
      </c>
      <c r="C165" s="640"/>
      <c r="D165" s="640"/>
      <c r="E165" s="640"/>
      <c r="F165" s="640"/>
      <c r="G165" s="640"/>
      <c r="H165" s="181"/>
      <c r="I165" s="186"/>
      <c r="J165" s="280">
        <v>351</v>
      </c>
      <c r="K165" s="490"/>
      <c r="L165" s="286" t="str">
        <f t="shared" ref="L165:L169" si="8">IF(I165&lt;=0,"OK","ERROR")</f>
        <v>OK</v>
      </c>
    </row>
    <row r="166" spans="1:16" ht="28.5" customHeight="1">
      <c r="A166" s="268" t="s">
        <v>388</v>
      </c>
      <c r="B166" s="641" t="s">
        <v>1507</v>
      </c>
      <c r="C166" s="642"/>
      <c r="D166" s="642"/>
      <c r="E166" s="642"/>
      <c r="F166" s="642"/>
      <c r="G166" s="642"/>
      <c r="H166" s="181"/>
      <c r="I166" s="186"/>
      <c r="J166" s="494">
        <v>352</v>
      </c>
      <c r="K166" s="490"/>
      <c r="L166" s="286" t="str">
        <f t="shared" si="8"/>
        <v>OK</v>
      </c>
    </row>
    <row r="167" spans="1:16" ht="28.5" customHeight="1">
      <c r="A167" s="268" t="s">
        <v>389</v>
      </c>
      <c r="B167" s="641" t="s">
        <v>1508</v>
      </c>
      <c r="C167" s="642"/>
      <c r="D167" s="642"/>
      <c r="E167" s="642"/>
      <c r="F167" s="642"/>
      <c r="G167" s="642"/>
      <c r="H167" s="181"/>
      <c r="I167" s="186"/>
      <c r="J167" s="494">
        <v>353</v>
      </c>
      <c r="K167" s="490"/>
      <c r="L167" s="286" t="str">
        <f t="shared" si="8"/>
        <v>OK</v>
      </c>
    </row>
    <row r="168" spans="1:16" ht="28.5" customHeight="1">
      <c r="A168" s="268" t="s">
        <v>390</v>
      </c>
      <c r="B168" s="641" t="s">
        <v>1509</v>
      </c>
      <c r="C168" s="642"/>
      <c r="D168" s="642"/>
      <c r="E168" s="642"/>
      <c r="F168" s="642"/>
      <c r="G168" s="642"/>
      <c r="H168" s="181"/>
      <c r="I168" s="186"/>
      <c r="J168" s="494">
        <v>354</v>
      </c>
      <c r="K168" s="490"/>
      <c r="L168" s="286" t="str">
        <f t="shared" si="8"/>
        <v>OK</v>
      </c>
    </row>
    <row r="169" spans="1:16" ht="28.5" customHeight="1">
      <c r="A169" s="268" t="s">
        <v>391</v>
      </c>
      <c r="B169" s="641" t="s">
        <v>1510</v>
      </c>
      <c r="C169" s="642"/>
      <c r="D169" s="642"/>
      <c r="E169" s="642"/>
      <c r="F169" s="642"/>
      <c r="G169" s="642"/>
      <c r="H169" s="181"/>
      <c r="I169" s="186"/>
      <c r="J169" s="494">
        <v>355</v>
      </c>
      <c r="K169" s="490"/>
      <c r="L169" s="286" t="str">
        <f t="shared" si="8"/>
        <v>OK</v>
      </c>
    </row>
    <row r="170" spans="1:16" ht="28.5" customHeight="1">
      <c r="A170" s="268" t="s">
        <v>676</v>
      </c>
      <c r="B170" s="536" t="s">
        <v>1511</v>
      </c>
      <c r="C170" s="536"/>
      <c r="D170" s="536"/>
      <c r="E170" s="536"/>
      <c r="F170" s="536"/>
      <c r="G170" s="536"/>
      <c r="H170" s="181"/>
      <c r="I170" s="186"/>
      <c r="J170" s="494">
        <v>570</v>
      </c>
      <c r="K170" s="490"/>
      <c r="L170" s="490"/>
      <c r="N170" s="490"/>
    </row>
    <row r="171" spans="1:16" s="490" customFormat="1" ht="33" customHeight="1" thickBot="1">
      <c r="A171" s="427" t="s">
        <v>677</v>
      </c>
      <c r="B171" s="637" t="s">
        <v>1071</v>
      </c>
      <c r="C171" s="637"/>
      <c r="D171" s="637"/>
      <c r="E171" s="637"/>
      <c r="F171" s="637"/>
      <c r="G171" s="637"/>
      <c r="H171" s="464"/>
      <c r="I171" s="309">
        <f>I165+I166+I167+I168+I169+I170</f>
        <v>0</v>
      </c>
      <c r="J171" s="280">
        <v>571</v>
      </c>
      <c r="L171" s="115" t="str">
        <f>IF(I171&lt;=0,"OK","ERROR")</f>
        <v>OK</v>
      </c>
      <c r="N171" s="324"/>
    </row>
    <row r="172" spans="1:16" s="298" customFormat="1" ht="17.25" customHeight="1" thickTop="1">
      <c r="A172" s="260" t="s">
        <v>562</v>
      </c>
      <c r="B172" s="536" t="s">
        <v>1228</v>
      </c>
      <c r="C172" s="536"/>
      <c r="D172" s="536"/>
      <c r="E172" s="536"/>
      <c r="F172" s="536"/>
      <c r="G172" s="536"/>
      <c r="H172" s="297"/>
      <c r="I172" s="186"/>
      <c r="J172" s="280">
        <v>1130</v>
      </c>
      <c r="L172" s="115" t="str">
        <f t="shared" ref="L172:L179" si="9">IF(I172&lt;=0,"OK","ERROR")</f>
        <v>OK</v>
      </c>
      <c r="N172" s="490"/>
    </row>
    <row r="173" spans="1:16" s="298" customFormat="1" ht="17.25" customHeight="1">
      <c r="A173" s="260" t="s">
        <v>563</v>
      </c>
      <c r="B173" s="536" t="s">
        <v>1229</v>
      </c>
      <c r="C173" s="536"/>
      <c r="D173" s="536"/>
      <c r="E173" s="536"/>
      <c r="F173" s="536"/>
      <c r="G173" s="536"/>
      <c r="H173" s="297"/>
      <c r="I173" s="186"/>
      <c r="J173" s="280">
        <v>1131</v>
      </c>
      <c r="L173" s="115" t="str">
        <f t="shared" si="9"/>
        <v>OK</v>
      </c>
    </row>
    <row r="174" spans="1:16" s="298" customFormat="1" ht="28.5" customHeight="1">
      <c r="A174" s="268" t="s">
        <v>1512</v>
      </c>
      <c r="B174" s="536" t="s">
        <v>1513</v>
      </c>
      <c r="C174" s="536"/>
      <c r="D174" s="536"/>
      <c r="E174" s="536"/>
      <c r="F174" s="536"/>
      <c r="G174" s="536"/>
      <c r="H174" s="297"/>
      <c r="I174" s="186"/>
      <c r="J174" s="280">
        <v>1413</v>
      </c>
      <c r="L174" s="115" t="str">
        <f t="shared" si="9"/>
        <v>OK</v>
      </c>
      <c r="P174" s="461"/>
    </row>
    <row r="175" spans="1:16" s="298" customFormat="1" ht="17.25" customHeight="1">
      <c r="A175" s="260" t="s">
        <v>678</v>
      </c>
      <c r="B175" s="620" t="s">
        <v>1230</v>
      </c>
      <c r="C175" s="536"/>
      <c r="D175" s="536"/>
      <c r="E175" s="536"/>
      <c r="F175" s="536"/>
      <c r="G175" s="536"/>
      <c r="H175" s="297"/>
      <c r="I175" s="186"/>
      <c r="J175" s="280">
        <v>1216</v>
      </c>
      <c r="L175" s="115" t="str">
        <f t="shared" si="9"/>
        <v>OK</v>
      </c>
      <c r="M175" s="325"/>
      <c r="N175" s="325"/>
    </row>
    <row r="176" spans="1:16" s="490" customFormat="1" ht="17.25" customHeight="1">
      <c r="A176" s="260" t="s">
        <v>1072</v>
      </c>
      <c r="B176" s="635" t="s">
        <v>1231</v>
      </c>
      <c r="C176" s="635"/>
      <c r="D176" s="635"/>
      <c r="E176" s="635"/>
      <c r="F176" s="635"/>
      <c r="G176" s="635"/>
      <c r="H176" s="464"/>
      <c r="I176" s="186"/>
      <c r="J176" s="280">
        <v>1217</v>
      </c>
      <c r="L176" s="115" t="str">
        <f t="shared" si="9"/>
        <v>OK</v>
      </c>
      <c r="M176" s="325"/>
      <c r="N176" s="324"/>
    </row>
    <row r="177" spans="1:21" s="298" customFormat="1" ht="17.25" customHeight="1">
      <c r="A177" s="260" t="s">
        <v>564</v>
      </c>
      <c r="B177" s="620" t="s">
        <v>1514</v>
      </c>
      <c r="C177" s="536"/>
      <c r="D177" s="536"/>
      <c r="E177" s="536"/>
      <c r="F177" s="536"/>
      <c r="G177" s="536"/>
      <c r="H177" s="297"/>
      <c r="I177" s="186"/>
      <c r="J177" s="280">
        <v>1132</v>
      </c>
      <c r="L177" s="115" t="str">
        <f t="shared" si="9"/>
        <v>OK</v>
      </c>
    </row>
    <row r="178" spans="1:21" s="490" customFormat="1" ht="17.25" customHeight="1">
      <c r="A178" s="260" t="s">
        <v>697</v>
      </c>
      <c r="B178" s="620" t="s">
        <v>1515</v>
      </c>
      <c r="C178" s="536"/>
      <c r="D178" s="536"/>
      <c r="E178" s="536"/>
      <c r="F178" s="536"/>
      <c r="G178" s="536"/>
      <c r="H178" s="464"/>
      <c r="I178" s="186"/>
      <c r="J178" s="280">
        <v>1218</v>
      </c>
      <c r="L178" s="115" t="str">
        <f t="shared" si="9"/>
        <v>OK</v>
      </c>
      <c r="M178" s="325"/>
      <c r="N178" s="324"/>
    </row>
    <row r="179" spans="1:21" s="490" customFormat="1" ht="17.25" customHeight="1">
      <c r="A179" s="260" t="s">
        <v>698</v>
      </c>
      <c r="B179" s="536" t="s">
        <v>1516</v>
      </c>
      <c r="C179" s="536"/>
      <c r="D179" s="536"/>
      <c r="E179" s="536"/>
      <c r="F179" s="536"/>
      <c r="G179" s="536"/>
      <c r="H179" s="464"/>
      <c r="I179" s="186"/>
      <c r="J179" s="280">
        <v>1219</v>
      </c>
      <c r="L179" s="115" t="str">
        <f t="shared" si="9"/>
        <v>OK</v>
      </c>
      <c r="M179" s="325"/>
      <c r="N179" s="324"/>
    </row>
    <row r="180" spans="1:21" s="490" customFormat="1" ht="17.25" customHeight="1">
      <c r="A180" s="260" t="s">
        <v>699</v>
      </c>
      <c r="B180" s="536" t="s">
        <v>1517</v>
      </c>
      <c r="C180" s="536"/>
      <c r="D180" s="536"/>
      <c r="E180" s="536"/>
      <c r="F180" s="536"/>
      <c r="G180" s="536"/>
      <c r="H180" s="326"/>
      <c r="I180" s="186"/>
      <c r="J180" s="280">
        <v>1220</v>
      </c>
      <c r="L180" s="115" t="str">
        <f>IF(I180&gt;=0,"OK","ERROR")</f>
        <v>OK</v>
      </c>
      <c r="M180" s="325"/>
      <c r="N180" s="324"/>
    </row>
    <row r="181" spans="1:21" s="490" customFormat="1" ht="6" customHeight="1">
      <c r="A181" s="345"/>
      <c r="B181" s="636"/>
      <c r="C181" s="636"/>
      <c r="D181" s="636"/>
      <c r="E181" s="636"/>
      <c r="F181" s="636"/>
      <c r="G181" s="636"/>
      <c r="H181" s="6"/>
      <c r="I181" s="438"/>
      <c r="J181" s="280"/>
      <c r="K181" s="211"/>
      <c r="L181" s="285"/>
      <c r="N181" s="460"/>
      <c r="O181" s="460"/>
      <c r="P181" s="460"/>
      <c r="Q181" s="460"/>
      <c r="R181" s="460"/>
      <c r="S181" s="460"/>
      <c r="T181" s="460"/>
      <c r="U181" s="460"/>
    </row>
    <row r="182" spans="1:21" s="490" customFormat="1" ht="6" customHeight="1">
      <c r="A182" s="260"/>
      <c r="B182" s="633"/>
      <c r="C182" s="633"/>
      <c r="D182" s="633"/>
      <c r="E182" s="633"/>
      <c r="F182" s="633"/>
      <c r="G182" s="633"/>
      <c r="H182" s="134"/>
      <c r="I182" s="439"/>
      <c r="J182" s="498"/>
      <c r="K182" s="5"/>
      <c r="L182" s="285"/>
      <c r="N182" s="460"/>
      <c r="O182" s="460"/>
      <c r="P182" s="460"/>
      <c r="Q182" s="460"/>
      <c r="R182" s="460"/>
      <c r="S182" s="460"/>
      <c r="T182" s="460"/>
      <c r="U182" s="460"/>
    </row>
    <row r="183" spans="1:21" ht="21" customHeight="1">
      <c r="A183" s="272" t="s">
        <v>683</v>
      </c>
      <c r="B183" s="634" t="s">
        <v>1321</v>
      </c>
      <c r="C183" s="634"/>
      <c r="D183" s="634"/>
      <c r="E183" s="634"/>
      <c r="F183" s="634"/>
      <c r="G183" s="634"/>
      <c r="H183" s="181"/>
      <c r="I183" s="294"/>
      <c r="J183" s="280">
        <v>1228</v>
      </c>
      <c r="K183" s="490"/>
      <c r="L183" s="115" t="str">
        <f>IF(I183&gt;=0,"OK","ERROR")</f>
        <v>OK</v>
      </c>
    </row>
    <row r="184" spans="1:21" ht="17.25" customHeight="1" thickBot="1">
      <c r="A184" s="260" t="s">
        <v>679</v>
      </c>
      <c r="B184" s="620" t="s">
        <v>1073</v>
      </c>
      <c r="C184" s="620"/>
      <c r="D184" s="620"/>
      <c r="E184" s="620"/>
      <c r="F184" s="620"/>
      <c r="G184" s="620"/>
      <c r="H184" s="181"/>
      <c r="I184" s="339">
        <f>I156+I172</f>
        <v>0</v>
      </c>
      <c r="J184" s="280">
        <v>1229</v>
      </c>
      <c r="K184" s="490"/>
      <c r="L184" s="115" t="str">
        <f>IF(I184&gt;=0,"OK","ERROR")</f>
        <v>OK</v>
      </c>
      <c r="N184" s="490"/>
    </row>
    <row r="185" spans="1:21" ht="17.25" customHeight="1" thickTop="1" thickBot="1">
      <c r="A185" s="260" t="s">
        <v>680</v>
      </c>
      <c r="B185" s="620" t="s">
        <v>1074</v>
      </c>
      <c r="C185" s="620"/>
      <c r="D185" s="620"/>
      <c r="E185" s="620"/>
      <c r="F185" s="620"/>
      <c r="G185" s="620"/>
      <c r="H185" s="181"/>
      <c r="I185" s="339">
        <f>I157+I173</f>
        <v>0</v>
      </c>
      <c r="J185" s="280">
        <v>1230</v>
      </c>
      <c r="K185" s="490"/>
      <c r="L185" s="115" t="str">
        <f t="shared" ref="L185:L188" si="10">IF(I185&gt;=0,"OK","ERROR")</f>
        <v>OK</v>
      </c>
      <c r="N185" s="490"/>
    </row>
    <row r="186" spans="1:21" ht="17.25" customHeight="1" thickTop="1" thickBot="1">
      <c r="A186" s="260" t="s">
        <v>1518</v>
      </c>
      <c r="B186" s="620" t="s">
        <v>1519</v>
      </c>
      <c r="C186" s="620"/>
      <c r="D186" s="620"/>
      <c r="E186" s="620"/>
      <c r="F186" s="620"/>
      <c r="G186" s="620"/>
      <c r="H186" s="181"/>
      <c r="I186" s="339">
        <f>I158+I174</f>
        <v>0</v>
      </c>
      <c r="J186" s="280">
        <v>1414</v>
      </c>
      <c r="K186" s="490"/>
      <c r="L186" s="115" t="str">
        <f>IF(I186&gt;=0,"OK","ERROR")</f>
        <v>OK</v>
      </c>
      <c r="N186" s="298"/>
      <c r="P186" s="461"/>
    </row>
    <row r="187" spans="1:21" ht="17.25" customHeight="1" thickTop="1" thickBot="1">
      <c r="A187" s="260" t="s">
        <v>681</v>
      </c>
      <c r="B187" s="620" t="s">
        <v>1075</v>
      </c>
      <c r="C187" s="620"/>
      <c r="D187" s="620"/>
      <c r="E187" s="620"/>
      <c r="F187" s="620"/>
      <c r="G187" s="620"/>
      <c r="H187" s="181"/>
      <c r="I187" s="339">
        <f>I159+I175</f>
        <v>0</v>
      </c>
      <c r="J187" s="280">
        <v>1231</v>
      </c>
      <c r="K187" s="490"/>
      <c r="L187" s="115" t="str">
        <f t="shared" si="10"/>
        <v>OK</v>
      </c>
      <c r="N187" s="490"/>
    </row>
    <row r="188" spans="1:21" ht="17.25" customHeight="1" thickTop="1" thickBot="1">
      <c r="A188" s="260" t="s">
        <v>682</v>
      </c>
      <c r="B188" s="620" t="s">
        <v>1076</v>
      </c>
      <c r="C188" s="620"/>
      <c r="D188" s="620"/>
      <c r="E188" s="620"/>
      <c r="F188" s="620"/>
      <c r="G188" s="620"/>
      <c r="H188" s="181"/>
      <c r="I188" s="339">
        <f>I160+I176</f>
        <v>0</v>
      </c>
      <c r="J188" s="280">
        <v>1232</v>
      </c>
      <c r="K188" s="490"/>
      <c r="L188" s="115" t="str">
        <f t="shared" si="10"/>
        <v>OK</v>
      </c>
      <c r="N188" s="490"/>
    </row>
    <row r="189" spans="1:21" ht="33" customHeight="1" thickTop="1" thickBot="1">
      <c r="A189" s="272" t="s">
        <v>565</v>
      </c>
      <c r="B189" s="629" t="s">
        <v>1077</v>
      </c>
      <c r="C189" s="629"/>
      <c r="D189" s="629"/>
      <c r="E189" s="629"/>
      <c r="F189" s="629"/>
      <c r="G189" s="629"/>
      <c r="H189" s="181"/>
      <c r="I189" s="279">
        <f>SUM(I184:I188)</f>
        <v>0</v>
      </c>
      <c r="J189" s="280">
        <v>1134</v>
      </c>
      <c r="K189" s="490"/>
      <c r="L189" s="115" t="str">
        <f>IF(I189&gt;=0,"OK","ERROR")</f>
        <v>OK</v>
      </c>
      <c r="N189" s="490"/>
    </row>
    <row r="190" spans="1:21" ht="28.5" customHeight="1" thickTop="1">
      <c r="A190" s="268" t="s">
        <v>692</v>
      </c>
      <c r="B190" s="620" t="s">
        <v>1520</v>
      </c>
      <c r="C190" s="620"/>
      <c r="D190" s="620"/>
      <c r="E190" s="620"/>
      <c r="F190" s="620"/>
      <c r="G190" s="620"/>
      <c r="H190" s="181"/>
      <c r="I190" s="14"/>
      <c r="J190" s="280">
        <v>1238</v>
      </c>
      <c r="K190" s="490"/>
      <c r="L190" s="115" t="str">
        <f>IF(I190&lt;=0,"OK","ERROR")</f>
        <v>OK</v>
      </c>
    </row>
    <row r="191" spans="1:21" ht="17.25" customHeight="1">
      <c r="A191" s="333" t="s">
        <v>684</v>
      </c>
      <c r="B191" s="632" t="s">
        <v>1078</v>
      </c>
      <c r="C191" s="632"/>
      <c r="D191" s="632"/>
      <c r="E191" s="632"/>
      <c r="F191" s="632"/>
      <c r="G191" s="632"/>
      <c r="H191" s="181"/>
      <c r="I191" s="186"/>
      <c r="J191" s="280">
        <v>1239</v>
      </c>
      <c r="K191" s="490"/>
      <c r="L191" s="115" t="str">
        <f t="shared" ref="L191:L198" si="11">IF(I191&lt;=0,"OK","ERROR")</f>
        <v>OK</v>
      </c>
      <c r="M191" s="488"/>
      <c r="N191" s="490"/>
    </row>
    <row r="192" spans="1:21" ht="17.25" customHeight="1">
      <c r="A192" s="333" t="s">
        <v>685</v>
      </c>
      <c r="B192" s="632" t="s">
        <v>1079</v>
      </c>
      <c r="C192" s="632"/>
      <c r="D192" s="632"/>
      <c r="E192" s="632"/>
      <c r="F192" s="632"/>
      <c r="G192" s="632"/>
      <c r="H192" s="181"/>
      <c r="I192" s="186"/>
      <c r="J192" s="280">
        <v>1240</v>
      </c>
      <c r="K192" s="490"/>
      <c r="L192" s="115" t="str">
        <f t="shared" si="11"/>
        <v>OK</v>
      </c>
      <c r="M192" s="488"/>
      <c r="N192" s="488"/>
    </row>
    <row r="193" spans="1:16" ht="17.25" customHeight="1">
      <c r="A193" s="260" t="s">
        <v>1521</v>
      </c>
      <c r="B193" s="632" t="s">
        <v>1522</v>
      </c>
      <c r="C193" s="632"/>
      <c r="D193" s="632"/>
      <c r="E193" s="632"/>
      <c r="F193" s="632"/>
      <c r="G193" s="632"/>
      <c r="H193" s="181"/>
      <c r="I193" s="186"/>
      <c r="J193" s="280">
        <v>1415</v>
      </c>
      <c r="K193" s="490"/>
      <c r="L193" s="115" t="str">
        <f t="shared" si="11"/>
        <v>OK</v>
      </c>
      <c r="M193" s="488"/>
      <c r="N193" s="490"/>
      <c r="P193" s="461"/>
    </row>
    <row r="194" spans="1:16" ht="17.25" customHeight="1">
      <c r="A194" s="333" t="s">
        <v>686</v>
      </c>
      <c r="B194" s="632" t="s">
        <v>1080</v>
      </c>
      <c r="C194" s="632"/>
      <c r="D194" s="632"/>
      <c r="E194" s="632"/>
      <c r="F194" s="632"/>
      <c r="G194" s="632"/>
      <c r="H194" s="181"/>
      <c r="I194" s="186"/>
      <c r="J194" s="280">
        <v>1241</v>
      </c>
      <c r="K194" s="490"/>
      <c r="L194" s="115" t="str">
        <f t="shared" si="11"/>
        <v>OK</v>
      </c>
      <c r="M194" s="488"/>
      <c r="N194" s="488"/>
    </row>
    <row r="195" spans="1:16" ht="17.25" customHeight="1">
      <c r="A195" s="333" t="s">
        <v>687</v>
      </c>
      <c r="B195" s="632" t="s">
        <v>1081</v>
      </c>
      <c r="C195" s="632"/>
      <c r="D195" s="632"/>
      <c r="E195" s="632"/>
      <c r="F195" s="632"/>
      <c r="G195" s="632"/>
      <c r="H195" s="181"/>
      <c r="I195" s="186"/>
      <c r="J195" s="280">
        <v>1242</v>
      </c>
      <c r="K195" s="490"/>
      <c r="L195" s="115" t="str">
        <f t="shared" si="11"/>
        <v>OK</v>
      </c>
      <c r="M195" s="488"/>
      <c r="N195" s="488"/>
    </row>
    <row r="196" spans="1:16" ht="17.25" customHeight="1">
      <c r="A196" s="333" t="s">
        <v>688</v>
      </c>
      <c r="B196" s="632" t="s">
        <v>1523</v>
      </c>
      <c r="C196" s="632"/>
      <c r="D196" s="632"/>
      <c r="E196" s="632"/>
      <c r="F196" s="632"/>
      <c r="G196" s="632"/>
      <c r="H196" s="181"/>
      <c r="I196" s="186"/>
      <c r="J196" s="280">
        <v>1243</v>
      </c>
      <c r="K196" s="490"/>
      <c r="L196" s="115" t="str">
        <f t="shared" si="11"/>
        <v>OK</v>
      </c>
      <c r="M196" s="488"/>
      <c r="N196" s="488"/>
    </row>
    <row r="197" spans="1:16" ht="17.25" customHeight="1">
      <c r="A197" s="333" t="s">
        <v>689</v>
      </c>
      <c r="B197" s="632" t="s">
        <v>1524</v>
      </c>
      <c r="C197" s="632"/>
      <c r="D197" s="632"/>
      <c r="E197" s="632"/>
      <c r="F197" s="632"/>
      <c r="G197" s="632"/>
      <c r="H197" s="181"/>
      <c r="I197" s="186"/>
      <c r="J197" s="280">
        <v>1244</v>
      </c>
      <c r="K197" s="490"/>
      <c r="L197" s="115" t="str">
        <f t="shared" si="11"/>
        <v>OK</v>
      </c>
      <c r="M197" s="488"/>
      <c r="N197" s="488"/>
    </row>
    <row r="198" spans="1:16" ht="17.25" customHeight="1">
      <c r="A198" s="333" t="s">
        <v>690</v>
      </c>
      <c r="B198" s="632" t="s">
        <v>1525</v>
      </c>
      <c r="C198" s="632"/>
      <c r="D198" s="632"/>
      <c r="E198" s="632"/>
      <c r="F198" s="632"/>
      <c r="G198" s="632"/>
      <c r="H198" s="181"/>
      <c r="I198" s="186"/>
      <c r="J198" s="280">
        <v>1245</v>
      </c>
      <c r="K198" s="490"/>
      <c r="L198" s="115" t="str">
        <f t="shared" si="11"/>
        <v>OK</v>
      </c>
      <c r="M198" s="488"/>
      <c r="N198" s="488"/>
    </row>
    <row r="199" spans="1:16" ht="17.25" customHeight="1">
      <c r="A199" s="333" t="s">
        <v>691</v>
      </c>
      <c r="B199" s="632" t="s">
        <v>1082</v>
      </c>
      <c r="C199" s="632"/>
      <c r="D199" s="632"/>
      <c r="E199" s="632"/>
      <c r="F199" s="632"/>
      <c r="G199" s="632"/>
      <c r="H199" s="181"/>
      <c r="I199" s="186"/>
      <c r="J199" s="280">
        <v>1246</v>
      </c>
      <c r="K199" s="490"/>
      <c r="L199" s="115" t="str">
        <f>IF(I199&lt;=0,"OK","ERROR")</f>
        <v>OK</v>
      </c>
      <c r="M199" s="488"/>
      <c r="N199" s="488"/>
    </row>
    <row r="200" spans="1:16" ht="17.25" customHeight="1" thickBot="1">
      <c r="A200" s="260" t="s">
        <v>566</v>
      </c>
      <c r="B200" s="630" t="s">
        <v>1083</v>
      </c>
      <c r="C200" s="630"/>
      <c r="D200" s="630"/>
      <c r="E200" s="630"/>
      <c r="F200" s="630"/>
      <c r="G200" s="630"/>
      <c r="H200" s="181"/>
      <c r="I200" s="327">
        <f>-(I190-SUM(I191:I199))</f>
        <v>0</v>
      </c>
      <c r="J200" s="280">
        <v>1136</v>
      </c>
      <c r="K200" s="298"/>
      <c r="L200" s="115" t="str">
        <f t="shared" ref="L200:L212" si="12">IF(I200&gt;=0,"OK","ERROR")</f>
        <v>OK</v>
      </c>
      <c r="M200" s="488"/>
      <c r="N200" s="490"/>
      <c r="O200" s="328"/>
    </row>
    <row r="201" spans="1:16" ht="6" customHeight="1" thickTop="1">
      <c r="A201" s="424"/>
      <c r="B201" s="615"/>
      <c r="C201" s="615"/>
      <c r="D201" s="615"/>
      <c r="E201" s="615"/>
      <c r="F201" s="615"/>
      <c r="G201" s="615"/>
      <c r="H201" s="8"/>
      <c r="I201" s="167"/>
      <c r="J201" s="496"/>
      <c r="K201" s="6"/>
      <c r="L201" s="285"/>
    </row>
    <row r="202" spans="1:16" ht="6" customHeight="1">
      <c r="A202" s="260"/>
      <c r="B202" s="527"/>
      <c r="C202" s="527"/>
      <c r="D202" s="527"/>
      <c r="E202" s="527"/>
      <c r="F202" s="527"/>
      <c r="G202" s="527"/>
      <c r="H202" s="134"/>
      <c r="I202" s="135"/>
      <c r="J202" s="494"/>
      <c r="K202" s="5"/>
      <c r="L202" s="285"/>
    </row>
    <row r="203" spans="1:16" ht="33" customHeight="1" thickBot="1">
      <c r="A203" s="272" t="s">
        <v>555</v>
      </c>
      <c r="B203" s="631" t="s">
        <v>1084</v>
      </c>
      <c r="C203" s="631"/>
      <c r="D203" s="631"/>
      <c r="E203" s="631"/>
      <c r="F203" s="631"/>
      <c r="G203" s="631"/>
      <c r="H203" s="181"/>
      <c r="I203" s="327">
        <f>SUM(I204:I206)</f>
        <v>0</v>
      </c>
      <c r="J203" s="280">
        <v>365</v>
      </c>
      <c r="K203" s="490"/>
      <c r="L203" s="115" t="str">
        <f t="shared" si="12"/>
        <v>OK</v>
      </c>
      <c r="N203" s="488"/>
    </row>
    <row r="204" spans="1:16" ht="17.25" customHeight="1" thickTop="1" thickBot="1">
      <c r="A204" s="260" t="s">
        <v>567</v>
      </c>
      <c r="B204" s="620" t="s">
        <v>1676</v>
      </c>
      <c r="C204" s="620"/>
      <c r="D204" s="620"/>
      <c r="E204" s="620"/>
      <c r="F204" s="620"/>
      <c r="G204" s="620"/>
      <c r="H204" s="181"/>
      <c r="I204" s="327">
        <f>I184+I191</f>
        <v>0</v>
      </c>
      <c r="J204" s="280">
        <v>1012</v>
      </c>
      <c r="K204" s="490"/>
      <c r="L204" s="115" t="str">
        <f t="shared" si="12"/>
        <v>OK</v>
      </c>
      <c r="N204" s="488"/>
    </row>
    <row r="205" spans="1:16" ht="17.25" customHeight="1" thickTop="1" thickBot="1">
      <c r="A205" s="260" t="s">
        <v>568</v>
      </c>
      <c r="B205" s="620" t="s">
        <v>1677</v>
      </c>
      <c r="C205" s="620"/>
      <c r="D205" s="620"/>
      <c r="E205" s="620"/>
      <c r="F205" s="620"/>
      <c r="G205" s="620"/>
      <c r="H205" s="181"/>
      <c r="I205" s="327">
        <f>I185+I192</f>
        <v>0</v>
      </c>
      <c r="J205" s="280">
        <v>1013</v>
      </c>
      <c r="K205" s="490"/>
      <c r="L205" s="115" t="str">
        <f t="shared" si="12"/>
        <v>OK</v>
      </c>
      <c r="N205" s="488"/>
    </row>
    <row r="206" spans="1:16" ht="17.25" customHeight="1" thickTop="1" thickBot="1">
      <c r="A206" s="260" t="s">
        <v>1526</v>
      </c>
      <c r="B206" s="620" t="s">
        <v>1678</v>
      </c>
      <c r="C206" s="620"/>
      <c r="D206" s="620"/>
      <c r="E206" s="620"/>
      <c r="F206" s="620"/>
      <c r="G206" s="620"/>
      <c r="H206" s="181"/>
      <c r="I206" s="327">
        <f>I186+I193</f>
        <v>0</v>
      </c>
      <c r="J206" s="280">
        <v>1416</v>
      </c>
      <c r="K206" s="490"/>
      <c r="L206" s="115" t="str">
        <f t="shared" si="12"/>
        <v>OK</v>
      </c>
      <c r="N206" s="488"/>
      <c r="P206" s="461"/>
    </row>
    <row r="207" spans="1:16" ht="33" customHeight="1" thickTop="1">
      <c r="A207" s="272" t="s">
        <v>693</v>
      </c>
      <c r="B207" s="629" t="s">
        <v>1085</v>
      </c>
      <c r="C207" s="629"/>
      <c r="D207" s="629"/>
      <c r="E207" s="629"/>
      <c r="F207" s="629"/>
      <c r="G207" s="629"/>
      <c r="H207" s="181"/>
      <c r="I207" s="186"/>
      <c r="J207" s="280">
        <v>1249</v>
      </c>
      <c r="K207" s="490"/>
      <c r="L207" s="115" t="str">
        <f t="shared" si="12"/>
        <v>OK</v>
      </c>
      <c r="N207" s="488"/>
    </row>
    <row r="208" spans="1:16" ht="17.25" customHeight="1" thickBot="1">
      <c r="A208" s="260" t="s">
        <v>694</v>
      </c>
      <c r="B208" s="620" t="s">
        <v>1527</v>
      </c>
      <c r="C208" s="620"/>
      <c r="D208" s="620"/>
      <c r="E208" s="620"/>
      <c r="F208" s="620"/>
      <c r="G208" s="620"/>
      <c r="H208" s="181"/>
      <c r="I208" s="327">
        <f>I161+I177+I196</f>
        <v>0</v>
      </c>
      <c r="J208" s="280">
        <v>1250</v>
      </c>
      <c r="K208" s="490"/>
      <c r="L208" s="115" t="str">
        <f t="shared" si="12"/>
        <v>OK</v>
      </c>
      <c r="N208" s="488"/>
    </row>
    <row r="209" spans="1:16" ht="17.25" customHeight="1" thickTop="1" thickBot="1">
      <c r="A209" s="260" t="s">
        <v>695</v>
      </c>
      <c r="B209" s="620" t="s">
        <v>1086</v>
      </c>
      <c r="C209" s="620"/>
      <c r="D209" s="620"/>
      <c r="E209" s="620"/>
      <c r="F209" s="620"/>
      <c r="G209" s="620"/>
      <c r="H209" s="181"/>
      <c r="I209" s="327">
        <f>I162+I178+I197</f>
        <v>0</v>
      </c>
      <c r="J209" s="280">
        <v>1251</v>
      </c>
      <c r="K209" s="490"/>
      <c r="L209" s="115" t="str">
        <f t="shared" si="12"/>
        <v>OK</v>
      </c>
      <c r="N209" s="488"/>
    </row>
    <row r="210" spans="1:16" ht="17.25" customHeight="1" thickTop="1" thickBot="1">
      <c r="A210" s="260" t="s">
        <v>696</v>
      </c>
      <c r="B210" s="620" t="s">
        <v>1087</v>
      </c>
      <c r="C210" s="620"/>
      <c r="D210" s="620"/>
      <c r="E210" s="620"/>
      <c r="F210" s="620"/>
      <c r="G210" s="620"/>
      <c r="H210" s="181"/>
      <c r="I210" s="327">
        <f>I163+I179+I198+I141+I199</f>
        <v>0</v>
      </c>
      <c r="J210" s="280">
        <v>1252</v>
      </c>
      <c r="K210" s="490"/>
      <c r="L210" s="115" t="str">
        <f t="shared" si="12"/>
        <v>OK</v>
      </c>
      <c r="N210" s="329"/>
    </row>
    <row r="211" spans="1:16" ht="17.25" customHeight="1" thickTop="1" thickBot="1">
      <c r="A211" s="260" t="s">
        <v>1528</v>
      </c>
      <c r="B211" s="536" t="s">
        <v>1529</v>
      </c>
      <c r="C211" s="536"/>
      <c r="D211" s="536"/>
      <c r="E211" s="536"/>
      <c r="F211" s="536"/>
      <c r="G211" s="536"/>
      <c r="H211" s="181"/>
      <c r="I211" s="327">
        <f>I187+I194</f>
        <v>0</v>
      </c>
      <c r="J211" s="280">
        <v>1417</v>
      </c>
      <c r="K211" s="490"/>
      <c r="L211" s="115" t="str">
        <f t="shared" si="12"/>
        <v>OK</v>
      </c>
      <c r="N211" s="329"/>
      <c r="P211" s="461"/>
    </row>
    <row r="212" spans="1:16" ht="17.25" customHeight="1" thickTop="1" thickBot="1">
      <c r="A212" s="260" t="s">
        <v>1530</v>
      </c>
      <c r="B212" s="536" t="s">
        <v>1531</v>
      </c>
      <c r="C212" s="536"/>
      <c r="D212" s="536"/>
      <c r="E212" s="536"/>
      <c r="F212" s="536"/>
      <c r="G212" s="536"/>
      <c r="H212" s="181"/>
      <c r="I212" s="327">
        <f>I188+I195</f>
        <v>0</v>
      </c>
      <c r="J212" s="280">
        <v>1418</v>
      </c>
      <c r="K212" s="490"/>
      <c r="L212" s="115" t="str">
        <f t="shared" si="12"/>
        <v>OK</v>
      </c>
      <c r="N212" s="329"/>
      <c r="P212" s="461"/>
    </row>
    <row r="213" spans="1:16" ht="33" customHeight="1" thickTop="1">
      <c r="A213" s="269" t="s">
        <v>1232</v>
      </c>
      <c r="B213" s="626" t="s">
        <v>1233</v>
      </c>
      <c r="C213" s="626"/>
      <c r="D213" s="626"/>
      <c r="E213" s="626"/>
      <c r="F213" s="626"/>
      <c r="G213" s="626"/>
      <c r="H213" s="134"/>
      <c r="I213" s="282"/>
      <c r="J213" s="280"/>
      <c r="K213" s="5"/>
      <c r="L213" s="490"/>
    </row>
    <row r="214" spans="1:16" s="6" customFormat="1" ht="27" customHeight="1" thickBot="1">
      <c r="A214" s="260" t="s">
        <v>569</v>
      </c>
      <c r="B214" s="627" t="s">
        <v>628</v>
      </c>
      <c r="C214" s="627"/>
      <c r="D214" s="627"/>
      <c r="E214" s="627"/>
      <c r="F214" s="627"/>
      <c r="G214" s="627"/>
      <c r="H214" s="134"/>
      <c r="I214" s="279">
        <f>I94+I189</f>
        <v>0</v>
      </c>
      <c r="J214" s="280">
        <v>1147</v>
      </c>
      <c r="K214" s="5"/>
      <c r="L214" s="286" t="str">
        <f>IF(I214&gt;=0,"OK","ERROR")</f>
        <v>OK</v>
      </c>
      <c r="M214" s="304"/>
      <c r="N214" s="199"/>
    </row>
    <row r="215" spans="1:16" s="6" customFormat="1" ht="28.5" customHeight="1" thickTop="1" thickBot="1">
      <c r="A215" s="268" t="s">
        <v>700</v>
      </c>
      <c r="B215" s="628" t="s">
        <v>1322</v>
      </c>
      <c r="C215" s="628"/>
      <c r="D215" s="628"/>
      <c r="E215" s="628"/>
      <c r="F215" s="628"/>
      <c r="G215" s="628"/>
      <c r="H215" s="181"/>
      <c r="I215" s="309">
        <f>I214+I161+I177+I162+I178+I163+I179+I141</f>
        <v>0</v>
      </c>
      <c r="J215" s="280">
        <v>1254</v>
      </c>
      <c r="K215" s="5"/>
      <c r="L215" s="488"/>
      <c r="M215" s="329"/>
      <c r="N215" s="329"/>
    </row>
    <row r="216" spans="1:16" s="6" customFormat="1" ht="17.25" customHeight="1" thickTop="1">
      <c r="A216" s="260" t="s">
        <v>570</v>
      </c>
      <c r="B216" s="622" t="s">
        <v>1088</v>
      </c>
      <c r="C216" s="623"/>
      <c r="D216" s="623"/>
      <c r="E216" s="623"/>
      <c r="F216" s="623"/>
      <c r="G216" s="623"/>
      <c r="H216" s="134"/>
      <c r="I216" s="14"/>
      <c r="J216" s="280">
        <v>1148</v>
      </c>
      <c r="K216" s="5"/>
      <c r="L216" s="286" t="str">
        <f>IF(I216&gt;=0,"OK","ERROR")</f>
        <v>OK</v>
      </c>
      <c r="M216" s="304"/>
    </row>
    <row r="217" spans="1:16" s="6" customFormat="1" ht="17.25" customHeight="1">
      <c r="A217" s="260" t="s">
        <v>571</v>
      </c>
      <c r="B217" s="622" t="s">
        <v>1089</v>
      </c>
      <c r="C217" s="623"/>
      <c r="D217" s="623"/>
      <c r="E217" s="623"/>
      <c r="F217" s="623"/>
      <c r="G217" s="623"/>
      <c r="H217" s="134"/>
      <c r="I217" s="14"/>
      <c r="J217" s="280">
        <v>1149</v>
      </c>
      <c r="K217" s="5"/>
      <c r="L217" s="286" t="str">
        <f>IF(I217&gt;=0,"OK","ERROR")</f>
        <v>OK</v>
      </c>
      <c r="M217" s="304"/>
    </row>
    <row r="218" spans="1:16" s="6" customFormat="1" ht="17.25" customHeight="1" thickBot="1">
      <c r="A218" s="260" t="s">
        <v>572</v>
      </c>
      <c r="B218" s="622" t="s">
        <v>1090</v>
      </c>
      <c r="C218" s="623"/>
      <c r="D218" s="623"/>
      <c r="E218" s="623"/>
      <c r="F218" s="623"/>
      <c r="G218" s="623"/>
      <c r="H218" s="134"/>
      <c r="I218" s="279">
        <f>I216+I217</f>
        <v>0</v>
      </c>
      <c r="J218" s="280">
        <v>1150</v>
      </c>
      <c r="K218" s="5"/>
      <c r="L218" s="286" t="str">
        <f>IF(I218&gt;=0,"OK","ERROR")</f>
        <v>OK</v>
      </c>
      <c r="M218" s="304"/>
    </row>
    <row r="219" spans="1:16" s="6" customFormat="1" ht="17.25" customHeight="1" thickTop="1">
      <c r="A219" s="260" t="s">
        <v>573</v>
      </c>
      <c r="B219" s="622" t="s">
        <v>1532</v>
      </c>
      <c r="C219" s="624"/>
      <c r="D219" s="624"/>
      <c r="E219" s="624"/>
      <c r="F219" s="624"/>
      <c r="G219" s="624"/>
      <c r="H219" s="134"/>
      <c r="I219" s="14"/>
      <c r="J219" s="280">
        <v>1151</v>
      </c>
      <c r="K219" s="5"/>
      <c r="L219" s="286" t="str">
        <f>IF(I219&gt;=0,"OK","ERROR")</f>
        <v>OK</v>
      </c>
      <c r="M219" s="304"/>
    </row>
    <row r="220" spans="1:16" s="6" customFormat="1" ht="33" customHeight="1">
      <c r="A220" s="330" t="s">
        <v>701</v>
      </c>
      <c r="B220" s="625" t="s">
        <v>1533</v>
      </c>
      <c r="C220" s="625"/>
      <c r="D220" s="625"/>
      <c r="E220" s="625"/>
      <c r="F220" s="625"/>
      <c r="G220" s="625"/>
      <c r="H220" s="181"/>
      <c r="I220" s="258"/>
      <c r="J220" s="280"/>
      <c r="K220" s="491"/>
      <c r="L220" s="490"/>
      <c r="M220" s="304"/>
      <c r="N220" s="490"/>
    </row>
    <row r="221" spans="1:16" s="6" customFormat="1" ht="21" customHeight="1" thickBot="1">
      <c r="A221" s="333" t="s">
        <v>702</v>
      </c>
      <c r="B221" s="568" t="s">
        <v>1534</v>
      </c>
      <c r="C221" s="568"/>
      <c r="D221" s="568"/>
      <c r="E221" s="568"/>
      <c r="F221" s="568"/>
      <c r="G221" s="568"/>
      <c r="H221" s="181"/>
      <c r="I221" s="339">
        <f>I262</f>
        <v>0</v>
      </c>
      <c r="J221" s="280">
        <v>573</v>
      </c>
      <c r="K221" s="5"/>
      <c r="L221" s="490"/>
      <c r="M221" s="304"/>
      <c r="N221" s="488"/>
    </row>
    <row r="222" spans="1:16" s="6" customFormat="1" ht="15.75" customHeight="1" thickTop="1" thickBot="1">
      <c r="A222" s="333" t="s">
        <v>703</v>
      </c>
      <c r="B222" s="568" t="s">
        <v>1535</v>
      </c>
      <c r="C222" s="568"/>
      <c r="D222" s="568"/>
      <c r="E222" s="568"/>
      <c r="F222" s="568"/>
      <c r="G222" s="568"/>
      <c r="H222" s="181"/>
      <c r="I222" s="339">
        <f>I286</f>
        <v>0</v>
      </c>
      <c r="J222" s="280">
        <v>574</v>
      </c>
      <c r="K222" s="5"/>
      <c r="L222" s="490"/>
      <c r="M222" s="304"/>
      <c r="N222" s="488"/>
    </row>
    <row r="223" spans="1:16" s="6" customFormat="1" ht="17.25" customHeight="1" thickTop="1" thickBot="1">
      <c r="A223" s="333" t="s">
        <v>704</v>
      </c>
      <c r="B223" s="603" t="s">
        <v>1091</v>
      </c>
      <c r="C223" s="603"/>
      <c r="D223" s="603"/>
      <c r="E223" s="603"/>
      <c r="F223" s="603"/>
      <c r="G223" s="603"/>
      <c r="H223" s="181"/>
      <c r="I223" s="339">
        <f>I308</f>
        <v>0</v>
      </c>
      <c r="J223" s="280">
        <v>575</v>
      </c>
      <c r="K223" s="5"/>
      <c r="L223" s="490"/>
      <c r="M223" s="304"/>
      <c r="N223" s="488"/>
    </row>
    <row r="224" spans="1:16" s="6" customFormat="1" ht="17.25" customHeight="1" thickTop="1" thickBot="1">
      <c r="A224" s="333" t="s">
        <v>705</v>
      </c>
      <c r="B224" s="603" t="s">
        <v>1092</v>
      </c>
      <c r="C224" s="603"/>
      <c r="D224" s="603"/>
      <c r="E224" s="603"/>
      <c r="F224" s="603"/>
      <c r="G224" s="603"/>
      <c r="H224" s="181"/>
      <c r="I224" s="339">
        <f>I330</f>
        <v>0</v>
      </c>
      <c r="J224" s="280">
        <v>576</v>
      </c>
      <c r="K224" s="5"/>
      <c r="L224" s="490"/>
      <c r="M224" s="304"/>
      <c r="N224" s="488"/>
    </row>
    <row r="225" spans="1:16" s="6" customFormat="1" ht="17.25" customHeight="1" thickTop="1" thickBot="1">
      <c r="A225" s="333" t="s">
        <v>706</v>
      </c>
      <c r="B225" s="603" t="s">
        <v>1536</v>
      </c>
      <c r="C225" s="603"/>
      <c r="D225" s="603"/>
      <c r="E225" s="603"/>
      <c r="F225" s="603"/>
      <c r="G225" s="603"/>
      <c r="H225" s="181"/>
      <c r="I225" s="244">
        <f>I208</f>
        <v>0</v>
      </c>
      <c r="J225" s="280">
        <v>577</v>
      </c>
      <c r="K225" s="5"/>
      <c r="L225" s="490"/>
      <c r="M225" s="304"/>
      <c r="N225" s="488"/>
    </row>
    <row r="226" spans="1:16" s="6" customFormat="1" ht="17.25" customHeight="1" thickTop="1" thickBot="1">
      <c r="A226" s="333" t="s">
        <v>707</v>
      </c>
      <c r="B226" s="603" t="s">
        <v>1537</v>
      </c>
      <c r="C226" s="603"/>
      <c r="D226" s="603"/>
      <c r="E226" s="603"/>
      <c r="F226" s="603"/>
      <c r="G226" s="603"/>
      <c r="H226" s="181"/>
      <c r="I226" s="244">
        <f>I209</f>
        <v>0</v>
      </c>
      <c r="J226" s="280">
        <v>578</v>
      </c>
      <c r="K226" s="5"/>
      <c r="L226" s="490"/>
      <c r="M226" s="304"/>
      <c r="N226" s="488"/>
    </row>
    <row r="227" spans="1:16" s="6" customFormat="1" ht="17.25" customHeight="1" thickTop="1" thickBot="1">
      <c r="A227" s="333" t="s">
        <v>708</v>
      </c>
      <c r="B227" s="603" t="s">
        <v>1538</v>
      </c>
      <c r="C227" s="603"/>
      <c r="D227" s="603"/>
      <c r="E227" s="603"/>
      <c r="F227" s="603"/>
      <c r="G227" s="603"/>
      <c r="H227" s="181"/>
      <c r="I227" s="244">
        <f>I210</f>
        <v>0</v>
      </c>
      <c r="J227" s="280">
        <v>579</v>
      </c>
      <c r="K227" s="5"/>
      <c r="L227" s="490"/>
      <c r="M227" s="304"/>
      <c r="N227" s="488"/>
    </row>
    <row r="228" spans="1:16" s="6" customFormat="1" ht="17.25" customHeight="1" thickTop="1" thickBot="1">
      <c r="A228" s="333" t="s">
        <v>709</v>
      </c>
      <c r="B228" s="536" t="s">
        <v>1093</v>
      </c>
      <c r="C228" s="536"/>
      <c r="D228" s="536"/>
      <c r="E228" s="536"/>
      <c r="F228" s="536"/>
      <c r="G228" s="536"/>
      <c r="H228" s="181"/>
      <c r="I228" s="339">
        <f>I331+I345+I346</f>
        <v>0</v>
      </c>
      <c r="J228" s="280">
        <v>580</v>
      </c>
      <c r="K228" s="5"/>
      <c r="L228" s="490"/>
      <c r="M228" s="304"/>
      <c r="N228" s="488"/>
    </row>
    <row r="229" spans="1:16" s="6" customFormat="1" ht="17.25" customHeight="1" thickTop="1">
      <c r="A229" s="333" t="s">
        <v>710</v>
      </c>
      <c r="B229" s="620" t="s">
        <v>1539</v>
      </c>
      <c r="C229" s="620"/>
      <c r="D229" s="620"/>
      <c r="E229" s="620"/>
      <c r="F229" s="620"/>
      <c r="G229" s="620"/>
      <c r="H229" s="181"/>
      <c r="I229" s="14"/>
      <c r="J229" s="280">
        <v>581</v>
      </c>
      <c r="K229" s="5"/>
      <c r="L229" s="490"/>
      <c r="M229" s="304"/>
      <c r="N229" s="488"/>
    </row>
    <row r="230" spans="1:16" s="6" customFormat="1" ht="17.25" customHeight="1" thickBot="1">
      <c r="A230" s="333" t="s">
        <v>711</v>
      </c>
      <c r="B230" s="620" t="s">
        <v>1094</v>
      </c>
      <c r="C230" s="620"/>
      <c r="D230" s="620"/>
      <c r="E230" s="620"/>
      <c r="F230" s="620"/>
      <c r="G230" s="620"/>
      <c r="H230" s="181"/>
      <c r="I230" s="244">
        <f>I228+I229</f>
        <v>0</v>
      </c>
      <c r="J230" s="280">
        <v>582</v>
      </c>
      <c r="K230" s="5"/>
      <c r="L230" s="490"/>
      <c r="M230" s="304"/>
      <c r="N230" s="488"/>
    </row>
    <row r="231" spans="1:16" s="6" customFormat="1" ht="17.25" customHeight="1" thickTop="1">
      <c r="A231" s="333" t="s">
        <v>712</v>
      </c>
      <c r="B231" s="617" t="s">
        <v>1323</v>
      </c>
      <c r="C231" s="617"/>
      <c r="D231" s="617"/>
      <c r="E231" s="617"/>
      <c r="F231" s="617"/>
      <c r="G231" s="617"/>
      <c r="H231" s="181"/>
      <c r="I231" s="331"/>
      <c r="J231" s="280">
        <v>583</v>
      </c>
      <c r="K231" s="5"/>
      <c r="L231" s="115" t="str">
        <f>IF(I231&lt;=0,"OK","ERROR")</f>
        <v>OK</v>
      </c>
      <c r="M231" s="490"/>
      <c r="N231" s="490"/>
      <c r="O231" s="332"/>
    </row>
    <row r="232" spans="1:16" s="6" customFormat="1" ht="17.25" customHeight="1" thickBot="1">
      <c r="A232" s="333" t="s">
        <v>1540</v>
      </c>
      <c r="B232" s="603" t="s">
        <v>1541</v>
      </c>
      <c r="C232" s="603"/>
      <c r="D232" s="603"/>
      <c r="E232" s="603"/>
      <c r="F232" s="603"/>
      <c r="G232" s="603"/>
      <c r="H232" s="181"/>
      <c r="I232" s="339">
        <f>I348</f>
        <v>0</v>
      </c>
      <c r="J232" s="280">
        <v>1419</v>
      </c>
      <c r="K232" s="5"/>
      <c r="L232" s="490"/>
      <c r="M232" s="490"/>
      <c r="N232" s="490"/>
      <c r="O232" s="332"/>
      <c r="P232" s="461"/>
    </row>
    <row r="233" spans="1:16" s="6" customFormat="1" ht="17.25" customHeight="1" thickTop="1" thickBot="1">
      <c r="A233" s="333" t="s">
        <v>1542</v>
      </c>
      <c r="B233" s="617" t="s">
        <v>1543</v>
      </c>
      <c r="C233" s="617"/>
      <c r="D233" s="617"/>
      <c r="E233" s="617"/>
      <c r="F233" s="617"/>
      <c r="G233" s="617"/>
      <c r="H233" s="181"/>
      <c r="I233" s="484" t="e">
        <f>IF(SUM(I243:I251)+SUM(I256:I259)-I254+SUM(I267:I275)+SUM(I280:I283)-I278+SUM(I289:I297)+SUM(I302:I305)-I300+I226+SUM(I311:I319)+SUM(I324:I327)-I322+I227+SUM(I333:I341)+I345+SUM(I350:I358)+I225
&gt;=0.75*IF(AND(I512=1,I513="B"),I707,I688),0,-MAX(I252+I260+I276+I284+I298+I306+I320+I328+I342+I346+I359-0.25*IF(AND(I512=1,I513="B"),I707,I688),0))</f>
        <v>#VALUE!</v>
      </c>
      <c r="J233" s="280">
        <v>1420</v>
      </c>
      <c r="K233" s="5"/>
      <c r="L233" s="115" t="e">
        <f>IF(I233&lt;=0,"OK","ERROR")</f>
        <v>#VALUE!</v>
      </c>
      <c r="M233" s="490"/>
      <c r="N233" s="490"/>
      <c r="O233" s="332"/>
      <c r="P233" s="461"/>
    </row>
    <row r="234" spans="1:16" s="6" customFormat="1" ht="33" customHeight="1" thickTop="1" thickBot="1">
      <c r="A234" s="425" t="s">
        <v>713</v>
      </c>
      <c r="B234" s="621" t="s">
        <v>1544</v>
      </c>
      <c r="C234" s="621"/>
      <c r="D234" s="621"/>
      <c r="E234" s="621"/>
      <c r="F234" s="621"/>
      <c r="G234" s="621"/>
      <c r="H234" s="181"/>
      <c r="I234" s="279" t="e">
        <f>SUM(I221:I227,I230:I233)</f>
        <v>#VALUE!</v>
      </c>
      <c r="J234" s="280">
        <v>584</v>
      </c>
      <c r="K234" s="5"/>
      <c r="L234" s="488"/>
      <c r="M234" s="304"/>
      <c r="N234" s="488"/>
    </row>
    <row r="235" spans="1:16" s="6" customFormat="1" ht="33" customHeight="1" thickTop="1">
      <c r="A235" s="425" t="s">
        <v>1324</v>
      </c>
      <c r="B235" s="621" t="s">
        <v>1680</v>
      </c>
      <c r="C235" s="621"/>
      <c r="D235" s="621"/>
      <c r="E235" s="621"/>
      <c r="F235" s="621"/>
      <c r="G235" s="621"/>
      <c r="H235" s="181"/>
      <c r="I235" s="440"/>
      <c r="J235" s="280">
        <v>615</v>
      </c>
      <c r="K235" s="5"/>
      <c r="L235" s="115" t="str">
        <f>IF(AND(I512=1,ABS(I235)=0),"OK",IF(AND(I512=2,ABS(I235)&gt;=0),"OK","ERROR"))</f>
        <v>ERROR</v>
      </c>
      <c r="M235" s="304"/>
      <c r="N235" s="488"/>
      <c r="O235" s="490"/>
    </row>
    <row r="236" spans="1:16" s="6" customFormat="1" ht="17.25" customHeight="1">
      <c r="A236" s="333" t="s">
        <v>1325</v>
      </c>
      <c r="B236" s="617" t="s">
        <v>1684</v>
      </c>
      <c r="C236" s="617"/>
      <c r="D236" s="617"/>
      <c r="E236" s="617"/>
      <c r="F236" s="617"/>
      <c r="G236" s="617"/>
      <c r="H236" s="181"/>
      <c r="I236" s="441"/>
      <c r="J236" s="280">
        <v>616</v>
      </c>
      <c r="K236" s="5"/>
      <c r="L236" s="115" t="str">
        <f>IF(AND(I512=1,I235=""),"OK",IF(AND(I512=2,ABS(I235)=0,I236=""),"OK",IF(AND(I512=2,ABS(I235)=0,I236="NO"),"OK",IF(AND(I512=2,ABS(I235)&gt;0,I236="YES"),"OK",IF(AND(I512=2,ABS(I235)&gt;0,I236="NO"),"OK","ERROR")))))</f>
        <v>ERROR</v>
      </c>
      <c r="M236" s="304"/>
      <c r="N236" s="488"/>
      <c r="O236" s="490"/>
    </row>
    <row r="237" spans="1:16" ht="33" customHeight="1">
      <c r="A237" s="426" t="s">
        <v>65</v>
      </c>
      <c r="B237" s="513" t="s">
        <v>67</v>
      </c>
      <c r="C237" s="513"/>
      <c r="D237" s="513"/>
      <c r="E237" s="513"/>
      <c r="F237" s="513"/>
      <c r="G237" s="513"/>
      <c r="H237" s="134"/>
      <c r="I237" s="258"/>
      <c r="J237" s="280"/>
      <c r="K237" s="5"/>
    </row>
    <row r="238" spans="1:16" ht="17.25" customHeight="1">
      <c r="A238" s="345" t="s">
        <v>66</v>
      </c>
      <c r="B238" s="588" t="s">
        <v>327</v>
      </c>
      <c r="C238" s="515"/>
      <c r="D238" s="515"/>
      <c r="E238" s="515"/>
      <c r="F238" s="515"/>
      <c r="G238" s="515"/>
      <c r="H238" s="134"/>
      <c r="I238" s="14"/>
      <c r="J238" s="494">
        <v>428</v>
      </c>
      <c r="K238" s="5"/>
      <c r="L238" s="286" t="str">
        <f>IF(I238&gt;=0,"OK","ERROR")</f>
        <v>OK</v>
      </c>
    </row>
    <row r="239" spans="1:16" ht="17.25" customHeight="1">
      <c r="A239" s="260" t="s">
        <v>284</v>
      </c>
      <c r="B239" s="618" t="s">
        <v>1174</v>
      </c>
      <c r="C239" s="619"/>
      <c r="D239" s="619"/>
      <c r="E239" s="619"/>
      <c r="F239" s="619"/>
      <c r="G239" s="619"/>
      <c r="H239" s="134"/>
      <c r="I239" s="14"/>
      <c r="J239" s="498">
        <v>429</v>
      </c>
      <c r="K239" s="5"/>
      <c r="L239" s="286" t="str">
        <f>IF(I239&gt;=I58,"OK","ERROR")</f>
        <v>OK</v>
      </c>
    </row>
    <row r="240" spans="1:16" ht="17.25" customHeight="1">
      <c r="A240" s="260" t="s">
        <v>285</v>
      </c>
      <c r="B240" s="618" t="s">
        <v>1175</v>
      </c>
      <c r="C240" s="619"/>
      <c r="D240" s="619"/>
      <c r="E240" s="619"/>
      <c r="F240" s="619"/>
      <c r="G240" s="619"/>
      <c r="H240" s="134"/>
      <c r="I240" s="14"/>
      <c r="J240" s="280">
        <v>430</v>
      </c>
      <c r="K240" s="5"/>
      <c r="L240" s="286" t="str">
        <f>IF(I240&gt;=0,"OK","ERROR")</f>
        <v>OK</v>
      </c>
    </row>
    <row r="241" spans="1:21" s="490" customFormat="1" ht="48" customHeight="1" thickBot="1">
      <c r="A241" s="273" t="s">
        <v>1545</v>
      </c>
      <c r="B241" s="612" t="s">
        <v>1546</v>
      </c>
      <c r="C241" s="613"/>
      <c r="D241" s="613"/>
      <c r="E241" s="613"/>
      <c r="F241" s="613"/>
      <c r="G241" s="613"/>
      <c r="H241" s="134"/>
      <c r="I241" s="279">
        <f>SUM(I243:I252)</f>
        <v>0</v>
      </c>
      <c r="J241" s="280">
        <v>437</v>
      </c>
      <c r="K241" s="5"/>
      <c r="O241" s="460"/>
      <c r="P241" s="460"/>
      <c r="Q241" s="460"/>
      <c r="R241" s="460"/>
      <c r="S241" s="460"/>
      <c r="T241" s="460"/>
      <c r="U241" s="460"/>
    </row>
    <row r="242" spans="1:21" s="490" customFormat="1" ht="7.5" customHeight="1" thickTop="1">
      <c r="A242" s="345"/>
      <c r="B242" s="616"/>
      <c r="C242" s="616"/>
      <c r="D242" s="616"/>
      <c r="E242" s="616"/>
      <c r="F242" s="616"/>
      <c r="G242" s="616"/>
      <c r="H242" s="134"/>
      <c r="I242" s="282"/>
      <c r="J242" s="280"/>
      <c r="K242" s="5"/>
      <c r="L242" s="284"/>
      <c r="N242" s="460"/>
      <c r="O242" s="460"/>
      <c r="P242" s="460"/>
      <c r="Q242" s="460"/>
      <c r="R242" s="460"/>
      <c r="S242" s="460"/>
      <c r="T242" s="460"/>
      <c r="U242" s="460"/>
    </row>
    <row r="243" spans="1:21" s="490" customFormat="1" ht="17.25" customHeight="1">
      <c r="A243" s="334" t="s">
        <v>714</v>
      </c>
      <c r="B243" s="568" t="s">
        <v>1095</v>
      </c>
      <c r="C243" s="568"/>
      <c r="D243" s="568"/>
      <c r="E243" s="568"/>
      <c r="F243" s="568"/>
      <c r="G243" s="568"/>
      <c r="H243" s="181"/>
      <c r="I243" s="186"/>
      <c r="J243" s="280">
        <v>1255</v>
      </c>
      <c r="K243" s="5"/>
      <c r="L243" s="115" t="str">
        <f>IF(I243&gt;=0,"OK","ERROR")</f>
        <v>OK</v>
      </c>
      <c r="N243" s="488"/>
      <c r="O243" s="460"/>
      <c r="P243" s="460"/>
      <c r="Q243" s="460"/>
      <c r="R243" s="460"/>
      <c r="S243" s="460"/>
      <c r="T243" s="460"/>
      <c r="U243" s="460"/>
    </row>
    <row r="244" spans="1:21" s="490" customFormat="1" ht="17.25" customHeight="1">
      <c r="A244" s="334" t="s">
        <v>715</v>
      </c>
      <c r="B244" s="603" t="s">
        <v>1096</v>
      </c>
      <c r="C244" s="603"/>
      <c r="D244" s="603"/>
      <c r="E244" s="603"/>
      <c r="F244" s="603"/>
      <c r="G244" s="603"/>
      <c r="H244" s="181"/>
      <c r="I244" s="186"/>
      <c r="J244" s="280">
        <v>1256</v>
      </c>
      <c r="K244" s="5"/>
      <c r="L244" s="115" t="str">
        <f t="shared" ref="L244:L253" si="13">IF(I244&gt;=0,"OK","ERROR")</f>
        <v>OK</v>
      </c>
      <c r="N244" s="488"/>
      <c r="O244" s="460"/>
      <c r="P244" s="460"/>
      <c r="Q244" s="460"/>
      <c r="R244" s="460"/>
      <c r="S244" s="460"/>
      <c r="T244" s="460"/>
      <c r="U244" s="460"/>
    </row>
    <row r="245" spans="1:21" s="490" customFormat="1" ht="17.25" customHeight="1">
      <c r="A245" s="334" t="s">
        <v>716</v>
      </c>
      <c r="B245" s="603" t="s">
        <v>1097</v>
      </c>
      <c r="C245" s="603"/>
      <c r="D245" s="603"/>
      <c r="E245" s="603"/>
      <c r="F245" s="603"/>
      <c r="G245" s="603"/>
      <c r="H245" s="181"/>
      <c r="I245" s="186"/>
      <c r="J245" s="280">
        <v>1257</v>
      </c>
      <c r="K245" s="5"/>
      <c r="L245" s="115" t="str">
        <f t="shared" si="13"/>
        <v>OK</v>
      </c>
      <c r="N245" s="488"/>
      <c r="O245" s="460"/>
      <c r="P245" s="460"/>
      <c r="Q245" s="460"/>
      <c r="R245" s="460"/>
      <c r="S245" s="460"/>
      <c r="T245" s="460"/>
      <c r="U245" s="460"/>
    </row>
    <row r="246" spans="1:21" s="490" customFormat="1" ht="17.25" customHeight="1">
      <c r="A246" s="334" t="s">
        <v>717</v>
      </c>
      <c r="B246" s="603" t="s">
        <v>1098</v>
      </c>
      <c r="C246" s="603"/>
      <c r="D246" s="603"/>
      <c r="E246" s="603"/>
      <c r="F246" s="603"/>
      <c r="G246" s="603"/>
      <c r="H246" s="181"/>
      <c r="I246" s="186"/>
      <c r="J246" s="280">
        <v>1258</v>
      </c>
      <c r="K246" s="5"/>
      <c r="L246" s="115" t="str">
        <f t="shared" si="13"/>
        <v>OK</v>
      </c>
      <c r="N246" s="488"/>
      <c r="O246" s="460"/>
      <c r="P246" s="460"/>
      <c r="Q246" s="460"/>
      <c r="R246" s="460"/>
      <c r="S246" s="460"/>
      <c r="T246" s="460"/>
      <c r="U246" s="460"/>
    </row>
    <row r="247" spans="1:21" s="490" customFormat="1" ht="17.25" customHeight="1">
      <c r="A247" s="334" t="s">
        <v>718</v>
      </c>
      <c r="B247" s="603" t="s">
        <v>1099</v>
      </c>
      <c r="C247" s="603"/>
      <c r="D247" s="603"/>
      <c r="E247" s="603"/>
      <c r="F247" s="603"/>
      <c r="G247" s="603"/>
      <c r="H247" s="181"/>
      <c r="I247" s="186"/>
      <c r="J247" s="280">
        <v>1259</v>
      </c>
      <c r="K247" s="5"/>
      <c r="L247" s="115" t="str">
        <f t="shared" si="13"/>
        <v>OK</v>
      </c>
      <c r="N247" s="488"/>
      <c r="O247" s="460"/>
      <c r="P247" s="460"/>
      <c r="Q247" s="460"/>
      <c r="R247" s="460"/>
      <c r="S247" s="460"/>
      <c r="T247" s="460"/>
      <c r="U247" s="460"/>
    </row>
    <row r="248" spans="1:21" s="490" customFormat="1" ht="17.25" customHeight="1">
      <c r="A248" s="333" t="s">
        <v>286</v>
      </c>
      <c r="B248" s="603" t="s">
        <v>1100</v>
      </c>
      <c r="C248" s="603"/>
      <c r="D248" s="603"/>
      <c r="E248" s="603"/>
      <c r="F248" s="603"/>
      <c r="G248" s="603"/>
      <c r="H248" s="181"/>
      <c r="I248" s="313"/>
      <c r="J248" s="280">
        <v>438</v>
      </c>
      <c r="K248" s="5"/>
      <c r="L248" s="115" t="str">
        <f t="shared" si="13"/>
        <v>OK</v>
      </c>
      <c r="N248" s="488"/>
      <c r="O248" s="460"/>
      <c r="P248" s="460"/>
      <c r="Q248" s="460"/>
      <c r="R248" s="460"/>
      <c r="S248" s="460"/>
      <c r="T248" s="460"/>
      <c r="U248" s="460"/>
    </row>
    <row r="249" spans="1:21" s="490" customFormat="1" ht="17.25" customHeight="1">
      <c r="A249" s="333" t="s">
        <v>287</v>
      </c>
      <c r="B249" s="603" t="s">
        <v>1101</v>
      </c>
      <c r="C249" s="603"/>
      <c r="D249" s="603"/>
      <c r="E249" s="603"/>
      <c r="F249" s="603"/>
      <c r="G249" s="603"/>
      <c r="H249" s="181"/>
      <c r="I249" s="313"/>
      <c r="J249" s="280">
        <v>439</v>
      </c>
      <c r="K249" s="5"/>
      <c r="L249" s="115" t="str">
        <f t="shared" si="13"/>
        <v>OK</v>
      </c>
      <c r="N249" s="488"/>
      <c r="O249" s="460"/>
      <c r="P249" s="460"/>
      <c r="Q249" s="460"/>
      <c r="R249" s="460"/>
      <c r="S249" s="460"/>
      <c r="T249" s="460"/>
      <c r="U249" s="460"/>
    </row>
    <row r="250" spans="1:21" s="490" customFormat="1" ht="17.25" customHeight="1">
      <c r="A250" s="333" t="s">
        <v>288</v>
      </c>
      <c r="B250" s="603" t="s">
        <v>1102</v>
      </c>
      <c r="C250" s="603"/>
      <c r="D250" s="603"/>
      <c r="E250" s="603"/>
      <c r="F250" s="603"/>
      <c r="G250" s="603"/>
      <c r="H250" s="181"/>
      <c r="I250" s="313"/>
      <c r="J250" s="280">
        <v>440</v>
      </c>
      <c r="K250" s="5"/>
      <c r="L250" s="115" t="str">
        <f t="shared" si="13"/>
        <v>OK</v>
      </c>
      <c r="N250" s="488"/>
      <c r="O250" s="460"/>
      <c r="P250" s="460"/>
      <c r="Q250" s="460"/>
      <c r="R250" s="460"/>
      <c r="S250" s="460"/>
      <c r="T250" s="460"/>
      <c r="U250" s="460"/>
    </row>
    <row r="251" spans="1:21" s="490" customFormat="1" ht="17.25" customHeight="1">
      <c r="A251" s="333" t="s">
        <v>289</v>
      </c>
      <c r="B251" s="603" t="s">
        <v>1103</v>
      </c>
      <c r="C251" s="603"/>
      <c r="D251" s="603"/>
      <c r="E251" s="603"/>
      <c r="F251" s="603"/>
      <c r="G251" s="603"/>
      <c r="H251" s="181"/>
      <c r="I251" s="313"/>
      <c r="J251" s="280">
        <v>441</v>
      </c>
      <c r="K251" s="5"/>
      <c r="L251" s="115" t="str">
        <f t="shared" si="13"/>
        <v>OK</v>
      </c>
      <c r="N251" s="488"/>
      <c r="O251" s="460"/>
      <c r="P251" s="460"/>
      <c r="Q251" s="460"/>
      <c r="R251" s="460"/>
      <c r="S251" s="460"/>
      <c r="T251" s="460"/>
      <c r="U251" s="460"/>
    </row>
    <row r="252" spans="1:21" s="490" customFormat="1" ht="17.25" customHeight="1">
      <c r="A252" s="333" t="s">
        <v>290</v>
      </c>
      <c r="B252" s="603" t="s">
        <v>1104</v>
      </c>
      <c r="C252" s="603"/>
      <c r="D252" s="603"/>
      <c r="E252" s="603"/>
      <c r="F252" s="603"/>
      <c r="G252" s="603"/>
      <c r="H252" s="181"/>
      <c r="I252" s="313"/>
      <c r="J252" s="280">
        <v>442</v>
      </c>
      <c r="K252" s="5"/>
      <c r="L252" s="115" t="str">
        <f t="shared" si="13"/>
        <v>OK</v>
      </c>
      <c r="N252" s="488"/>
      <c r="O252" s="460"/>
      <c r="P252" s="460"/>
      <c r="Q252" s="460"/>
      <c r="R252" s="460"/>
      <c r="S252" s="460"/>
      <c r="T252" s="460"/>
      <c r="U252" s="460"/>
    </row>
    <row r="253" spans="1:21" s="490" customFormat="1" ht="17.25" customHeight="1">
      <c r="A253" s="333" t="s">
        <v>291</v>
      </c>
      <c r="B253" s="603" t="s">
        <v>1547</v>
      </c>
      <c r="C253" s="603"/>
      <c r="D253" s="603"/>
      <c r="E253" s="603"/>
      <c r="F253" s="603"/>
      <c r="G253" s="603"/>
      <c r="H253" s="181"/>
      <c r="I253" s="313"/>
      <c r="J253" s="280">
        <v>443</v>
      </c>
      <c r="K253" s="5"/>
      <c r="L253" s="115" t="str">
        <f t="shared" si="13"/>
        <v>OK</v>
      </c>
      <c r="N253" s="488"/>
      <c r="O253" s="460"/>
      <c r="P253" s="460"/>
      <c r="Q253" s="460"/>
      <c r="R253" s="460"/>
      <c r="S253" s="460"/>
      <c r="T253" s="460"/>
      <c r="U253" s="460"/>
    </row>
    <row r="254" spans="1:21" s="490" customFormat="1" ht="17.25" customHeight="1" thickBot="1">
      <c r="A254" s="333" t="s">
        <v>719</v>
      </c>
      <c r="B254" s="603" t="s">
        <v>1107</v>
      </c>
      <c r="C254" s="603"/>
      <c r="D254" s="603"/>
      <c r="E254" s="603"/>
      <c r="F254" s="603"/>
      <c r="G254" s="603"/>
      <c r="H254" s="181"/>
      <c r="I254" s="279">
        <f>I243+I244+I245+I246+I247+I248+(I249*0.8)+(I250*0.6)+(I251*0.4)+(I252*0.2)</f>
        <v>0</v>
      </c>
      <c r="J254" s="280">
        <v>1260</v>
      </c>
      <c r="K254" s="5"/>
      <c r="L254" s="488"/>
      <c r="N254" s="488"/>
      <c r="O254" s="460"/>
      <c r="P254" s="460"/>
      <c r="Q254" s="460"/>
      <c r="R254" s="460"/>
      <c r="S254" s="460"/>
      <c r="T254" s="460"/>
      <c r="U254" s="460"/>
    </row>
    <row r="255" spans="1:21" s="490" customFormat="1" ht="17.25" customHeight="1" thickTop="1">
      <c r="A255" s="333" t="s">
        <v>1688</v>
      </c>
      <c r="B255" s="603" t="s">
        <v>1689</v>
      </c>
      <c r="C255" s="603"/>
      <c r="D255" s="603"/>
      <c r="E255" s="603"/>
      <c r="F255" s="603"/>
      <c r="G255" s="603"/>
      <c r="H255" s="181"/>
      <c r="I255" s="14"/>
      <c r="J255" s="280">
        <v>1487</v>
      </c>
      <c r="K255" s="5"/>
      <c r="L255" s="115" t="str">
        <f>IF(I255&lt;=0,"OK","ERROR")</f>
        <v>OK</v>
      </c>
      <c r="N255" s="488"/>
      <c r="O255" s="460"/>
      <c r="P255" s="460"/>
      <c r="Q255" s="460"/>
      <c r="R255" s="460"/>
      <c r="S255" s="460"/>
      <c r="T255" s="460"/>
      <c r="U255" s="460"/>
    </row>
    <row r="256" spans="1:21" s="490" customFormat="1" ht="17.25" customHeight="1">
      <c r="A256" s="333" t="s">
        <v>1690</v>
      </c>
      <c r="B256" s="536" t="s">
        <v>1691</v>
      </c>
      <c r="C256" s="536"/>
      <c r="D256" s="536"/>
      <c r="E256" s="536"/>
      <c r="F256" s="536"/>
      <c r="G256" s="536"/>
      <c r="H256" s="181"/>
      <c r="I256" s="14"/>
      <c r="J256" s="280">
        <v>1488</v>
      </c>
      <c r="K256" s="5"/>
      <c r="L256" s="115" t="str">
        <f t="shared" ref="L256:L261" si="14">IF(I256&lt;=0,"OK","ERROR")</f>
        <v>OK</v>
      </c>
      <c r="N256" s="488"/>
      <c r="O256" s="460"/>
      <c r="P256" s="460"/>
      <c r="Q256" s="460"/>
      <c r="R256" s="460"/>
      <c r="S256" s="460"/>
      <c r="T256" s="460"/>
      <c r="U256" s="460"/>
    </row>
    <row r="257" spans="1:21" s="490" customFormat="1" ht="17.25" customHeight="1">
      <c r="A257" s="333" t="s">
        <v>1692</v>
      </c>
      <c r="B257" s="536" t="s">
        <v>1693</v>
      </c>
      <c r="C257" s="536"/>
      <c r="D257" s="536"/>
      <c r="E257" s="536"/>
      <c r="F257" s="536"/>
      <c r="G257" s="536"/>
      <c r="H257" s="181"/>
      <c r="I257" s="14"/>
      <c r="J257" s="280">
        <v>1489</v>
      </c>
      <c r="K257" s="5"/>
      <c r="L257" s="115" t="str">
        <f t="shared" si="14"/>
        <v>OK</v>
      </c>
      <c r="N257" s="488"/>
      <c r="O257" s="460"/>
      <c r="P257" s="460"/>
      <c r="Q257" s="460"/>
      <c r="R257" s="460"/>
      <c r="S257" s="460"/>
      <c r="T257" s="460"/>
      <c r="U257" s="460"/>
    </row>
    <row r="258" spans="1:21" s="490" customFormat="1" ht="17.25" customHeight="1">
      <c r="A258" s="333" t="s">
        <v>1694</v>
      </c>
      <c r="B258" s="536" t="s">
        <v>1695</v>
      </c>
      <c r="C258" s="536"/>
      <c r="D258" s="536"/>
      <c r="E258" s="536"/>
      <c r="F258" s="536"/>
      <c r="G258" s="536"/>
      <c r="H258" s="181"/>
      <c r="I258" s="14"/>
      <c r="J258" s="280">
        <v>1490</v>
      </c>
      <c r="K258" s="5"/>
      <c r="L258" s="115" t="str">
        <f t="shared" si="14"/>
        <v>OK</v>
      </c>
      <c r="N258" s="488"/>
      <c r="O258" s="460"/>
      <c r="P258" s="460"/>
      <c r="Q258" s="460"/>
      <c r="R258" s="460"/>
      <c r="S258" s="460"/>
      <c r="T258" s="460"/>
      <c r="U258" s="460"/>
    </row>
    <row r="259" spans="1:21" s="490" customFormat="1" ht="17.25" customHeight="1">
      <c r="A259" s="333" t="s">
        <v>1696</v>
      </c>
      <c r="B259" s="536" t="s">
        <v>1697</v>
      </c>
      <c r="C259" s="536"/>
      <c r="D259" s="536"/>
      <c r="E259" s="536"/>
      <c r="F259" s="536"/>
      <c r="G259" s="536"/>
      <c r="H259" s="181"/>
      <c r="I259" s="14"/>
      <c r="J259" s="280">
        <v>1491</v>
      </c>
      <c r="K259" s="5"/>
      <c r="L259" s="115" t="str">
        <f t="shared" si="14"/>
        <v>OK</v>
      </c>
      <c r="N259" s="488"/>
      <c r="O259" s="460"/>
      <c r="P259" s="460"/>
      <c r="Q259" s="460"/>
      <c r="R259" s="460"/>
      <c r="S259" s="460"/>
      <c r="T259" s="460"/>
      <c r="U259" s="460"/>
    </row>
    <row r="260" spans="1:21" s="490" customFormat="1" ht="17.25" customHeight="1">
      <c r="A260" s="333" t="s">
        <v>1698</v>
      </c>
      <c r="B260" s="536" t="s">
        <v>1699</v>
      </c>
      <c r="C260" s="536"/>
      <c r="D260" s="536"/>
      <c r="E260" s="536"/>
      <c r="F260" s="536"/>
      <c r="G260" s="536"/>
      <c r="H260" s="181"/>
      <c r="I260" s="14"/>
      <c r="J260" s="280">
        <v>1492</v>
      </c>
      <c r="K260" s="5"/>
      <c r="L260" s="115" t="str">
        <f t="shared" si="14"/>
        <v>OK</v>
      </c>
      <c r="N260" s="488"/>
      <c r="O260" s="460"/>
      <c r="P260" s="460"/>
      <c r="Q260" s="460"/>
      <c r="R260" s="460"/>
      <c r="S260" s="460"/>
      <c r="T260" s="460"/>
      <c r="U260" s="460"/>
    </row>
    <row r="261" spans="1:21" s="490" customFormat="1" ht="17.25" customHeight="1">
      <c r="A261" s="333" t="s">
        <v>1700</v>
      </c>
      <c r="B261" s="536" t="s">
        <v>1701</v>
      </c>
      <c r="C261" s="536"/>
      <c r="D261" s="536"/>
      <c r="E261" s="536"/>
      <c r="F261" s="536"/>
      <c r="G261" s="536"/>
      <c r="H261" s="181"/>
      <c r="I261" s="14"/>
      <c r="J261" s="280">
        <v>1493</v>
      </c>
      <c r="K261" s="5"/>
      <c r="L261" s="115" t="str">
        <f t="shared" si="14"/>
        <v>OK</v>
      </c>
      <c r="N261" s="488"/>
      <c r="O261" s="460"/>
      <c r="P261" s="460"/>
      <c r="Q261" s="460"/>
      <c r="R261" s="460"/>
      <c r="S261" s="460"/>
      <c r="T261" s="460"/>
      <c r="U261" s="460"/>
    </row>
    <row r="262" spans="1:21" s="490" customFormat="1" ht="17.25" customHeight="1">
      <c r="A262" s="333" t="s">
        <v>720</v>
      </c>
      <c r="B262" s="603" t="s">
        <v>1702</v>
      </c>
      <c r="C262" s="603"/>
      <c r="D262" s="603"/>
      <c r="E262" s="603"/>
      <c r="F262" s="603"/>
      <c r="G262" s="603"/>
      <c r="H262" s="181"/>
      <c r="I262" s="186"/>
      <c r="J262" s="280">
        <v>1261</v>
      </c>
      <c r="K262" s="5"/>
      <c r="L262" s="488"/>
      <c r="N262" s="488"/>
      <c r="O262" s="460"/>
      <c r="P262" s="460"/>
      <c r="Q262" s="460"/>
      <c r="R262" s="460"/>
      <c r="S262" s="460"/>
      <c r="T262" s="460"/>
      <c r="U262" s="460"/>
    </row>
    <row r="263" spans="1:21" ht="6" customHeight="1">
      <c r="A263" s="424"/>
      <c r="B263" s="615"/>
      <c r="C263" s="615"/>
      <c r="D263" s="615"/>
      <c r="E263" s="615"/>
      <c r="F263" s="615"/>
      <c r="G263" s="615"/>
      <c r="H263" s="8"/>
      <c r="I263" s="167"/>
      <c r="J263" s="496"/>
      <c r="K263" s="6"/>
      <c r="L263" s="285"/>
    </row>
    <row r="264" spans="1:21" ht="6" customHeight="1">
      <c r="A264" s="260"/>
      <c r="B264" s="527"/>
      <c r="C264" s="527"/>
      <c r="D264" s="527"/>
      <c r="E264" s="527"/>
      <c r="F264" s="527"/>
      <c r="G264" s="527"/>
      <c r="H264" s="134"/>
      <c r="I264" s="135"/>
      <c r="J264" s="494"/>
      <c r="K264" s="5"/>
      <c r="L264" s="285"/>
    </row>
    <row r="265" spans="1:21" s="490" customFormat="1" ht="52.5" customHeight="1" thickBot="1">
      <c r="A265" s="330" t="s">
        <v>1549</v>
      </c>
      <c r="B265" s="612" t="s">
        <v>1550</v>
      </c>
      <c r="C265" s="613"/>
      <c r="D265" s="613"/>
      <c r="E265" s="613"/>
      <c r="F265" s="613"/>
      <c r="G265" s="613"/>
      <c r="H265" s="181"/>
      <c r="I265" s="279">
        <f>SUM(I267:I276)</f>
        <v>0</v>
      </c>
      <c r="J265" s="280">
        <v>1264</v>
      </c>
      <c r="K265" s="5"/>
      <c r="O265" s="460"/>
      <c r="P265" s="460"/>
      <c r="Q265" s="460"/>
      <c r="R265" s="460"/>
      <c r="S265" s="460"/>
      <c r="T265" s="460"/>
      <c r="U265" s="460"/>
    </row>
    <row r="266" spans="1:21" s="490" customFormat="1" ht="7.5" customHeight="1" thickTop="1">
      <c r="A266" s="334"/>
      <c r="B266" s="614"/>
      <c r="C266" s="614"/>
      <c r="D266" s="614"/>
      <c r="E266" s="614"/>
      <c r="F266" s="614"/>
      <c r="G266" s="614"/>
      <c r="H266" s="181"/>
      <c r="I266" s="335"/>
      <c r="J266" s="280"/>
      <c r="K266" s="491"/>
      <c r="N266" s="488"/>
      <c r="O266" s="460"/>
      <c r="P266" s="460"/>
      <c r="Q266" s="460"/>
      <c r="R266" s="460"/>
      <c r="S266" s="460"/>
      <c r="T266" s="460"/>
      <c r="U266" s="460"/>
    </row>
    <row r="267" spans="1:21" s="490" customFormat="1" ht="17.25" customHeight="1">
      <c r="A267" s="334" t="s">
        <v>721</v>
      </c>
      <c r="B267" s="568" t="s">
        <v>1095</v>
      </c>
      <c r="C267" s="568"/>
      <c r="D267" s="568"/>
      <c r="E267" s="568"/>
      <c r="F267" s="568"/>
      <c r="G267" s="568"/>
      <c r="H267" s="181"/>
      <c r="I267" s="186"/>
      <c r="J267" s="280">
        <v>1265</v>
      </c>
      <c r="K267" s="5"/>
      <c r="L267" s="115" t="str">
        <f t="shared" ref="L267:L277" si="15">IF(I267&gt;=0,"OK","ERROR")</f>
        <v>OK</v>
      </c>
      <c r="M267" s="488"/>
      <c r="N267" s="488"/>
      <c r="O267" s="460"/>
      <c r="P267" s="460"/>
      <c r="Q267" s="460"/>
      <c r="R267" s="460"/>
      <c r="S267" s="460"/>
      <c r="T267" s="460"/>
      <c r="U267" s="460"/>
    </row>
    <row r="268" spans="1:21" s="490" customFormat="1" ht="17.25" customHeight="1">
      <c r="A268" s="334" t="s">
        <v>722</v>
      </c>
      <c r="B268" s="603" t="s">
        <v>1096</v>
      </c>
      <c r="C268" s="603"/>
      <c r="D268" s="603"/>
      <c r="E268" s="603"/>
      <c r="F268" s="603"/>
      <c r="G268" s="603"/>
      <c r="H268" s="181"/>
      <c r="I268" s="186"/>
      <c r="J268" s="280">
        <v>1266</v>
      </c>
      <c r="K268" s="5"/>
      <c r="L268" s="115" t="str">
        <f t="shared" si="15"/>
        <v>OK</v>
      </c>
      <c r="M268" s="488"/>
      <c r="N268" s="488"/>
      <c r="O268" s="460"/>
      <c r="P268" s="460"/>
      <c r="Q268" s="460"/>
      <c r="R268" s="460"/>
      <c r="S268" s="460"/>
      <c r="T268" s="460"/>
      <c r="U268" s="460"/>
    </row>
    <row r="269" spans="1:21" s="490" customFormat="1" ht="17.25" customHeight="1">
      <c r="A269" s="334" t="s">
        <v>723</v>
      </c>
      <c r="B269" s="603" t="s">
        <v>1097</v>
      </c>
      <c r="C269" s="603"/>
      <c r="D269" s="603"/>
      <c r="E269" s="603"/>
      <c r="F269" s="603"/>
      <c r="G269" s="603"/>
      <c r="H269" s="181"/>
      <c r="I269" s="186"/>
      <c r="J269" s="280">
        <v>1267</v>
      </c>
      <c r="K269" s="5"/>
      <c r="L269" s="115" t="str">
        <f t="shared" si="15"/>
        <v>OK</v>
      </c>
      <c r="M269" s="488"/>
      <c r="N269" s="488"/>
      <c r="O269" s="460"/>
      <c r="P269" s="460"/>
      <c r="Q269" s="460"/>
      <c r="R269" s="460"/>
      <c r="S269" s="460"/>
      <c r="T269" s="460"/>
      <c r="U269" s="460"/>
    </row>
    <row r="270" spans="1:21" s="490" customFormat="1" ht="17.25" customHeight="1">
      <c r="A270" s="334" t="s">
        <v>724</v>
      </c>
      <c r="B270" s="603" t="s">
        <v>1098</v>
      </c>
      <c r="C270" s="603"/>
      <c r="D270" s="603"/>
      <c r="E270" s="603"/>
      <c r="F270" s="603"/>
      <c r="G270" s="603"/>
      <c r="H270" s="181"/>
      <c r="I270" s="186"/>
      <c r="J270" s="280">
        <v>1268</v>
      </c>
      <c r="K270" s="5"/>
      <c r="L270" s="115" t="str">
        <f t="shared" si="15"/>
        <v>OK</v>
      </c>
      <c r="M270" s="488"/>
      <c r="N270" s="488"/>
      <c r="O270" s="460"/>
      <c r="P270" s="460"/>
      <c r="Q270" s="460"/>
      <c r="R270" s="460"/>
      <c r="S270" s="460"/>
      <c r="T270" s="460"/>
      <c r="U270" s="460"/>
    </row>
    <row r="271" spans="1:21" s="490" customFormat="1" ht="17.25" customHeight="1">
      <c r="A271" s="334" t="s">
        <v>725</v>
      </c>
      <c r="B271" s="603" t="s">
        <v>1099</v>
      </c>
      <c r="C271" s="603"/>
      <c r="D271" s="603"/>
      <c r="E271" s="603"/>
      <c r="F271" s="603"/>
      <c r="G271" s="603"/>
      <c r="H271" s="181"/>
      <c r="I271" s="186"/>
      <c r="J271" s="280">
        <v>1269</v>
      </c>
      <c r="K271" s="5"/>
      <c r="L271" s="115" t="str">
        <f t="shared" si="15"/>
        <v>OK</v>
      </c>
      <c r="M271" s="488"/>
      <c r="N271" s="488"/>
      <c r="O271" s="460"/>
      <c r="P271" s="460"/>
      <c r="Q271" s="460"/>
      <c r="R271" s="460"/>
      <c r="S271" s="460"/>
      <c r="T271" s="460"/>
      <c r="U271" s="460"/>
    </row>
    <row r="272" spans="1:21" s="490" customFormat="1" ht="17.25" customHeight="1">
      <c r="A272" s="334" t="s">
        <v>726</v>
      </c>
      <c r="B272" s="603" t="s">
        <v>1100</v>
      </c>
      <c r="C272" s="603"/>
      <c r="D272" s="603"/>
      <c r="E272" s="603"/>
      <c r="F272" s="603"/>
      <c r="G272" s="603"/>
      <c r="H272" s="181"/>
      <c r="I272" s="313"/>
      <c r="J272" s="280">
        <v>1270</v>
      </c>
      <c r="K272" s="5"/>
      <c r="L272" s="115" t="str">
        <f t="shared" si="15"/>
        <v>OK</v>
      </c>
      <c r="M272" s="488"/>
      <c r="N272" s="488"/>
      <c r="P272" s="460"/>
      <c r="Q272" s="460"/>
      <c r="R272" s="460"/>
      <c r="S272" s="460"/>
      <c r="T272" s="460"/>
      <c r="U272" s="460"/>
    </row>
    <row r="273" spans="1:21" s="490" customFormat="1" ht="17.25" customHeight="1">
      <c r="A273" s="334" t="s">
        <v>727</v>
      </c>
      <c r="B273" s="603" t="s">
        <v>1101</v>
      </c>
      <c r="C273" s="603"/>
      <c r="D273" s="603"/>
      <c r="E273" s="603"/>
      <c r="F273" s="603"/>
      <c r="G273" s="603"/>
      <c r="H273" s="181"/>
      <c r="I273" s="313"/>
      <c r="J273" s="280">
        <v>1271</v>
      </c>
      <c r="K273" s="5"/>
      <c r="L273" s="115" t="str">
        <f t="shared" si="15"/>
        <v>OK</v>
      </c>
      <c r="M273" s="488"/>
      <c r="N273" s="488"/>
      <c r="O273" s="460"/>
      <c r="P273" s="460"/>
      <c r="Q273" s="460"/>
      <c r="R273" s="460"/>
      <c r="S273" s="460"/>
      <c r="T273" s="460"/>
      <c r="U273" s="460"/>
    </row>
    <row r="274" spans="1:21" s="490" customFormat="1" ht="17.25" customHeight="1">
      <c r="A274" s="334" t="s">
        <v>728</v>
      </c>
      <c r="B274" s="603" t="s">
        <v>1102</v>
      </c>
      <c r="C274" s="603"/>
      <c r="D274" s="603"/>
      <c r="E274" s="603"/>
      <c r="F274" s="603"/>
      <c r="G274" s="603"/>
      <c r="H274" s="181"/>
      <c r="I274" s="313"/>
      <c r="J274" s="280">
        <v>1272</v>
      </c>
      <c r="K274" s="5"/>
      <c r="L274" s="115" t="str">
        <f t="shared" si="15"/>
        <v>OK</v>
      </c>
      <c r="M274" s="488"/>
      <c r="N274" s="488"/>
      <c r="O274" s="460"/>
      <c r="P274" s="460"/>
      <c r="Q274" s="460"/>
      <c r="R274" s="460"/>
      <c r="S274" s="460"/>
      <c r="T274" s="460"/>
      <c r="U274" s="460"/>
    </row>
    <row r="275" spans="1:21" s="490" customFormat="1" ht="17.25" customHeight="1">
      <c r="A275" s="334" t="s">
        <v>729</v>
      </c>
      <c r="B275" s="603" t="s">
        <v>1103</v>
      </c>
      <c r="C275" s="603"/>
      <c r="D275" s="603"/>
      <c r="E275" s="603"/>
      <c r="F275" s="603"/>
      <c r="G275" s="603"/>
      <c r="H275" s="181"/>
      <c r="I275" s="313"/>
      <c r="J275" s="280">
        <v>1273</v>
      </c>
      <c r="K275" s="5"/>
      <c r="L275" s="115" t="str">
        <f t="shared" si="15"/>
        <v>OK</v>
      </c>
      <c r="M275" s="488"/>
      <c r="N275" s="488"/>
      <c r="O275" s="460"/>
      <c r="P275" s="460"/>
      <c r="Q275" s="460"/>
      <c r="R275" s="460"/>
      <c r="S275" s="460"/>
      <c r="T275" s="460"/>
      <c r="U275" s="460"/>
    </row>
    <row r="276" spans="1:21" s="490" customFormat="1" ht="17.25" customHeight="1">
      <c r="A276" s="334" t="s">
        <v>730</v>
      </c>
      <c r="B276" s="603" t="s">
        <v>1104</v>
      </c>
      <c r="C276" s="603"/>
      <c r="D276" s="603"/>
      <c r="E276" s="603"/>
      <c r="F276" s="603"/>
      <c r="G276" s="603"/>
      <c r="H276" s="181"/>
      <c r="I276" s="313"/>
      <c r="J276" s="280">
        <v>1274</v>
      </c>
      <c r="K276" s="5"/>
      <c r="L276" s="115" t="str">
        <f t="shared" si="15"/>
        <v>OK</v>
      </c>
      <c r="M276" s="488"/>
      <c r="N276" s="488"/>
      <c r="O276" s="460"/>
      <c r="P276" s="460"/>
      <c r="Q276" s="460"/>
      <c r="R276" s="460"/>
      <c r="S276" s="460"/>
      <c r="T276" s="460"/>
      <c r="U276" s="460"/>
    </row>
    <row r="277" spans="1:21" s="490" customFormat="1" ht="17.25" customHeight="1">
      <c r="A277" s="334" t="s">
        <v>731</v>
      </c>
      <c r="B277" s="603" t="s">
        <v>1547</v>
      </c>
      <c r="C277" s="603"/>
      <c r="D277" s="603"/>
      <c r="E277" s="603"/>
      <c r="F277" s="603"/>
      <c r="G277" s="603"/>
      <c r="H277" s="181"/>
      <c r="I277" s="313"/>
      <c r="J277" s="280">
        <v>1275</v>
      </c>
      <c r="K277" s="5"/>
      <c r="L277" s="115" t="str">
        <f t="shared" si="15"/>
        <v>OK</v>
      </c>
      <c r="M277" s="488"/>
      <c r="N277" s="488"/>
      <c r="O277" s="460"/>
      <c r="P277" s="460"/>
      <c r="Q277" s="460"/>
      <c r="R277" s="460"/>
      <c r="S277" s="460"/>
      <c r="T277" s="460"/>
      <c r="U277" s="460"/>
    </row>
    <row r="278" spans="1:21" s="490" customFormat="1" ht="17.25" customHeight="1" thickBot="1">
      <c r="A278" s="334" t="s">
        <v>732</v>
      </c>
      <c r="B278" s="603" t="s">
        <v>1107</v>
      </c>
      <c r="C278" s="603"/>
      <c r="D278" s="603"/>
      <c r="E278" s="603"/>
      <c r="F278" s="603"/>
      <c r="G278" s="603"/>
      <c r="H278" s="181"/>
      <c r="I278" s="279">
        <f>(SUM(I267:I272))+(I273*0.8)+(I274*0.6)+(I275*0.4)+(I276*0.2)</f>
        <v>0</v>
      </c>
      <c r="J278" s="280">
        <v>1276</v>
      </c>
      <c r="K278" s="5"/>
      <c r="L278" s="488"/>
      <c r="N278" s="488"/>
      <c r="O278" s="460"/>
      <c r="P278" s="460"/>
      <c r="Q278" s="460"/>
      <c r="R278" s="460"/>
      <c r="S278" s="460"/>
      <c r="T278" s="460"/>
      <c r="U278" s="460"/>
    </row>
    <row r="279" spans="1:21" s="490" customFormat="1" ht="17.25" customHeight="1" thickTop="1">
      <c r="A279" s="334" t="s">
        <v>1703</v>
      </c>
      <c r="B279" s="603" t="s">
        <v>1689</v>
      </c>
      <c r="C279" s="603"/>
      <c r="D279" s="603"/>
      <c r="E279" s="603"/>
      <c r="F279" s="603"/>
      <c r="G279" s="603"/>
      <c r="H279" s="181"/>
      <c r="I279" s="14"/>
      <c r="J279" s="280">
        <v>1494</v>
      </c>
      <c r="K279" s="5"/>
      <c r="L279" s="115" t="str">
        <f>IF(I279&lt;=0,"OK","ERROR")</f>
        <v>OK</v>
      </c>
      <c r="N279" s="488"/>
      <c r="O279" s="460"/>
      <c r="P279" s="460"/>
      <c r="Q279" s="460"/>
      <c r="R279" s="460"/>
      <c r="S279" s="460"/>
      <c r="T279" s="460"/>
      <c r="U279" s="460"/>
    </row>
    <row r="280" spans="1:21" s="490" customFormat="1" ht="17.25" customHeight="1">
      <c r="A280" s="334" t="s">
        <v>1704</v>
      </c>
      <c r="B280" s="536" t="s">
        <v>1691</v>
      </c>
      <c r="C280" s="536"/>
      <c r="D280" s="536"/>
      <c r="E280" s="536"/>
      <c r="F280" s="536"/>
      <c r="G280" s="536"/>
      <c r="H280" s="181"/>
      <c r="I280" s="14"/>
      <c r="J280" s="280">
        <v>1495</v>
      </c>
      <c r="K280" s="5"/>
      <c r="L280" s="115" t="str">
        <f t="shared" ref="L280:L285" si="16">IF(I280&lt;=0,"OK","ERROR")</f>
        <v>OK</v>
      </c>
      <c r="N280" s="488"/>
      <c r="O280" s="460"/>
      <c r="P280" s="460"/>
      <c r="Q280" s="460"/>
      <c r="R280" s="460"/>
      <c r="S280" s="460"/>
      <c r="T280" s="460"/>
      <c r="U280" s="460"/>
    </row>
    <row r="281" spans="1:21" s="490" customFormat="1" ht="17.25" customHeight="1">
      <c r="A281" s="334" t="s">
        <v>1705</v>
      </c>
      <c r="B281" s="536" t="s">
        <v>1693</v>
      </c>
      <c r="C281" s="536"/>
      <c r="D281" s="536"/>
      <c r="E281" s="536"/>
      <c r="F281" s="536"/>
      <c r="G281" s="536"/>
      <c r="H281" s="181"/>
      <c r="I281" s="14"/>
      <c r="J281" s="280">
        <v>1496</v>
      </c>
      <c r="K281" s="5"/>
      <c r="L281" s="115" t="str">
        <f t="shared" si="16"/>
        <v>OK</v>
      </c>
      <c r="N281" s="488"/>
      <c r="O281" s="460"/>
      <c r="P281" s="460"/>
      <c r="Q281" s="460"/>
      <c r="R281" s="460"/>
      <c r="S281" s="460"/>
      <c r="T281" s="460"/>
      <c r="U281" s="460"/>
    </row>
    <row r="282" spans="1:21" s="490" customFormat="1" ht="17.25" customHeight="1">
      <c r="A282" s="334" t="s">
        <v>1706</v>
      </c>
      <c r="B282" s="536" t="s">
        <v>1695</v>
      </c>
      <c r="C282" s="536"/>
      <c r="D282" s="536"/>
      <c r="E282" s="536"/>
      <c r="F282" s="536"/>
      <c r="G282" s="536"/>
      <c r="H282" s="181"/>
      <c r="I282" s="14"/>
      <c r="J282" s="280">
        <v>1497</v>
      </c>
      <c r="K282" s="5"/>
      <c r="L282" s="115" t="str">
        <f t="shared" si="16"/>
        <v>OK</v>
      </c>
      <c r="N282" s="488"/>
      <c r="O282" s="460"/>
      <c r="P282" s="460"/>
      <c r="Q282" s="460"/>
      <c r="R282" s="460"/>
      <c r="S282" s="460"/>
      <c r="T282" s="460"/>
      <c r="U282" s="460"/>
    </row>
    <row r="283" spans="1:21" s="490" customFormat="1" ht="17.25" customHeight="1">
      <c r="A283" s="334" t="s">
        <v>1707</v>
      </c>
      <c r="B283" s="536" t="s">
        <v>1697</v>
      </c>
      <c r="C283" s="536"/>
      <c r="D283" s="536"/>
      <c r="E283" s="536"/>
      <c r="F283" s="536"/>
      <c r="G283" s="536"/>
      <c r="H283" s="181"/>
      <c r="I283" s="14"/>
      <c r="J283" s="280">
        <v>1498</v>
      </c>
      <c r="K283" s="5"/>
      <c r="L283" s="115" t="str">
        <f t="shared" si="16"/>
        <v>OK</v>
      </c>
      <c r="N283" s="488"/>
      <c r="O283" s="460"/>
      <c r="P283" s="460"/>
      <c r="Q283" s="460"/>
      <c r="R283" s="460"/>
      <c r="S283" s="460"/>
      <c r="T283" s="460"/>
      <c r="U283" s="460"/>
    </row>
    <row r="284" spans="1:21" s="490" customFormat="1" ht="17.25" customHeight="1">
      <c r="A284" s="334" t="s">
        <v>1708</v>
      </c>
      <c r="B284" s="536" t="s">
        <v>1699</v>
      </c>
      <c r="C284" s="536"/>
      <c r="D284" s="536"/>
      <c r="E284" s="536"/>
      <c r="F284" s="536"/>
      <c r="G284" s="536"/>
      <c r="H284" s="181"/>
      <c r="I284" s="14"/>
      <c r="J284" s="280">
        <v>1499</v>
      </c>
      <c r="K284" s="5"/>
      <c r="L284" s="115" t="str">
        <f t="shared" si="16"/>
        <v>OK</v>
      </c>
      <c r="N284" s="488"/>
      <c r="O284" s="460"/>
      <c r="P284" s="460"/>
      <c r="Q284" s="460"/>
      <c r="R284" s="460"/>
      <c r="S284" s="460"/>
      <c r="T284" s="460"/>
      <c r="U284" s="460"/>
    </row>
    <row r="285" spans="1:21" s="490" customFormat="1" ht="17.25" customHeight="1">
      <c r="A285" s="334" t="s">
        <v>1709</v>
      </c>
      <c r="B285" s="536" t="s">
        <v>1701</v>
      </c>
      <c r="C285" s="536"/>
      <c r="D285" s="536"/>
      <c r="E285" s="536"/>
      <c r="F285" s="536"/>
      <c r="G285" s="536"/>
      <c r="H285" s="181"/>
      <c r="I285" s="14"/>
      <c r="J285" s="280">
        <v>1500</v>
      </c>
      <c r="K285" s="5"/>
      <c r="L285" s="115" t="str">
        <f t="shared" si="16"/>
        <v>OK</v>
      </c>
      <c r="N285" s="488"/>
      <c r="O285" s="460"/>
      <c r="P285" s="460"/>
      <c r="Q285" s="460"/>
      <c r="R285" s="460"/>
      <c r="S285" s="460"/>
      <c r="T285" s="460"/>
      <c r="U285" s="460"/>
    </row>
    <row r="286" spans="1:21" s="490" customFormat="1" ht="17.25" customHeight="1">
      <c r="A286" s="334" t="s">
        <v>733</v>
      </c>
      <c r="B286" s="603" t="s">
        <v>1702</v>
      </c>
      <c r="C286" s="603"/>
      <c r="D286" s="603"/>
      <c r="E286" s="603"/>
      <c r="F286" s="603"/>
      <c r="G286" s="603"/>
      <c r="H286" s="181"/>
      <c r="I286" s="186"/>
      <c r="J286" s="280">
        <v>1277</v>
      </c>
      <c r="K286" s="5"/>
      <c r="L286" s="488"/>
      <c r="N286" s="488"/>
      <c r="O286" s="460"/>
      <c r="P286" s="460"/>
      <c r="Q286" s="460"/>
      <c r="R286" s="460"/>
      <c r="S286" s="460"/>
      <c r="T286" s="460"/>
      <c r="U286" s="460"/>
    </row>
    <row r="287" spans="1:21" s="490" customFormat="1" ht="33" customHeight="1" thickBot="1">
      <c r="A287" s="330" t="s">
        <v>1105</v>
      </c>
      <c r="B287" s="612" t="s">
        <v>1106</v>
      </c>
      <c r="C287" s="613"/>
      <c r="D287" s="613"/>
      <c r="E287" s="613"/>
      <c r="F287" s="613"/>
      <c r="G287" s="613"/>
      <c r="H287" s="181"/>
      <c r="I287" s="279">
        <f>SUM(I289:I298)</f>
        <v>0</v>
      </c>
      <c r="J287" s="280">
        <v>1280</v>
      </c>
      <c r="K287" s="5"/>
      <c r="O287" s="460"/>
      <c r="P287" s="460"/>
      <c r="Q287" s="460"/>
      <c r="R287" s="460"/>
      <c r="S287" s="460"/>
      <c r="T287" s="460"/>
      <c r="U287" s="460"/>
    </row>
    <row r="288" spans="1:21" s="490" customFormat="1" ht="7.5" customHeight="1" thickTop="1">
      <c r="A288" s="421"/>
      <c r="B288" s="614"/>
      <c r="C288" s="614"/>
      <c r="D288" s="614"/>
      <c r="E288" s="614"/>
      <c r="F288" s="614"/>
      <c r="G288" s="614"/>
      <c r="H288" s="181"/>
      <c r="I288" s="335"/>
      <c r="J288" s="280"/>
      <c r="K288" s="491"/>
      <c r="N288" s="488"/>
      <c r="O288" s="460"/>
      <c r="P288" s="460"/>
      <c r="Q288" s="460"/>
      <c r="R288" s="460"/>
      <c r="S288" s="460"/>
      <c r="T288" s="460"/>
      <c r="U288" s="460"/>
    </row>
    <row r="289" spans="1:21" s="490" customFormat="1" ht="17.25" customHeight="1">
      <c r="A289" s="334" t="s">
        <v>734</v>
      </c>
      <c r="B289" s="568" t="s">
        <v>1095</v>
      </c>
      <c r="C289" s="568"/>
      <c r="D289" s="568"/>
      <c r="E289" s="568"/>
      <c r="F289" s="568"/>
      <c r="G289" s="568"/>
      <c r="H289" s="181"/>
      <c r="I289" s="186"/>
      <c r="J289" s="280">
        <v>1281</v>
      </c>
      <c r="K289" s="5"/>
      <c r="L289" s="115" t="str">
        <f t="shared" ref="L289:L299" si="17">IF(I289&gt;=0,"OK","ERROR")</f>
        <v>OK</v>
      </c>
      <c r="M289" s="488"/>
      <c r="N289" s="488"/>
      <c r="O289" s="460"/>
      <c r="P289" s="460"/>
      <c r="Q289" s="460"/>
      <c r="R289" s="460"/>
      <c r="S289" s="460"/>
      <c r="T289" s="460"/>
      <c r="U289" s="460"/>
    </row>
    <row r="290" spans="1:21" s="490" customFormat="1" ht="17.25" customHeight="1">
      <c r="A290" s="334" t="s">
        <v>735</v>
      </c>
      <c r="B290" s="603" t="s">
        <v>1096</v>
      </c>
      <c r="C290" s="603"/>
      <c r="D290" s="603"/>
      <c r="E290" s="603"/>
      <c r="F290" s="603"/>
      <c r="G290" s="603"/>
      <c r="H290" s="181"/>
      <c r="I290" s="186"/>
      <c r="J290" s="280">
        <v>1282</v>
      </c>
      <c r="K290" s="5"/>
      <c r="L290" s="115" t="str">
        <f t="shared" si="17"/>
        <v>OK</v>
      </c>
      <c r="M290" s="488"/>
      <c r="N290" s="488"/>
      <c r="O290" s="460"/>
      <c r="P290" s="460"/>
      <c r="Q290" s="460"/>
      <c r="R290" s="460"/>
      <c r="S290" s="460"/>
      <c r="T290" s="460"/>
      <c r="U290" s="460"/>
    </row>
    <row r="291" spans="1:21" s="490" customFormat="1" ht="17.25" customHeight="1">
      <c r="A291" s="334" t="s">
        <v>736</v>
      </c>
      <c r="B291" s="603" t="s">
        <v>1097</v>
      </c>
      <c r="C291" s="603"/>
      <c r="D291" s="603"/>
      <c r="E291" s="603"/>
      <c r="F291" s="603"/>
      <c r="G291" s="603"/>
      <c r="H291" s="181"/>
      <c r="I291" s="186"/>
      <c r="J291" s="280">
        <v>1283</v>
      </c>
      <c r="K291" s="5"/>
      <c r="L291" s="115" t="str">
        <f t="shared" si="17"/>
        <v>OK</v>
      </c>
      <c r="M291" s="488"/>
      <c r="N291" s="488"/>
      <c r="O291" s="460"/>
      <c r="P291" s="460"/>
      <c r="Q291" s="460"/>
      <c r="R291" s="460"/>
      <c r="S291" s="460"/>
      <c r="T291" s="460"/>
      <c r="U291" s="460"/>
    </row>
    <row r="292" spans="1:21" s="490" customFormat="1" ht="17.25" customHeight="1">
      <c r="A292" s="334" t="s">
        <v>737</v>
      </c>
      <c r="B292" s="603" t="s">
        <v>1098</v>
      </c>
      <c r="C292" s="603"/>
      <c r="D292" s="603"/>
      <c r="E292" s="603"/>
      <c r="F292" s="603"/>
      <c r="G292" s="603"/>
      <c r="H292" s="181"/>
      <c r="I292" s="186"/>
      <c r="J292" s="280">
        <v>1284</v>
      </c>
      <c r="K292" s="5"/>
      <c r="L292" s="115" t="str">
        <f t="shared" si="17"/>
        <v>OK</v>
      </c>
      <c r="M292" s="488"/>
      <c r="N292" s="488"/>
      <c r="O292" s="460"/>
      <c r="P292" s="460"/>
      <c r="Q292" s="460"/>
      <c r="R292" s="460"/>
      <c r="S292" s="460"/>
      <c r="T292" s="460"/>
      <c r="U292" s="460"/>
    </row>
    <row r="293" spans="1:21" s="490" customFormat="1" ht="17.25" customHeight="1">
      <c r="A293" s="334" t="s">
        <v>738</v>
      </c>
      <c r="B293" s="603" t="s">
        <v>1099</v>
      </c>
      <c r="C293" s="603"/>
      <c r="D293" s="603"/>
      <c r="E293" s="603"/>
      <c r="F293" s="603"/>
      <c r="G293" s="603"/>
      <c r="H293" s="181"/>
      <c r="I293" s="186"/>
      <c r="J293" s="280">
        <v>1285</v>
      </c>
      <c r="K293" s="5"/>
      <c r="L293" s="115" t="str">
        <f t="shared" si="17"/>
        <v>OK</v>
      </c>
      <c r="M293" s="488"/>
      <c r="N293" s="488"/>
      <c r="O293" s="460"/>
      <c r="P293" s="460"/>
      <c r="Q293" s="460"/>
      <c r="R293" s="460"/>
      <c r="S293" s="460"/>
      <c r="T293" s="460"/>
      <c r="U293" s="460"/>
    </row>
    <row r="294" spans="1:21" s="490" customFormat="1" ht="17.25" customHeight="1">
      <c r="A294" s="334" t="s">
        <v>739</v>
      </c>
      <c r="B294" s="603" t="s">
        <v>1100</v>
      </c>
      <c r="C294" s="603"/>
      <c r="D294" s="603"/>
      <c r="E294" s="603"/>
      <c r="F294" s="603"/>
      <c r="G294" s="603"/>
      <c r="H294" s="181"/>
      <c r="I294" s="313"/>
      <c r="J294" s="280">
        <v>1286</v>
      </c>
      <c r="K294" s="5"/>
      <c r="L294" s="115" t="str">
        <f t="shared" si="17"/>
        <v>OK</v>
      </c>
      <c r="M294" s="488"/>
      <c r="N294" s="488"/>
      <c r="O294" s="460"/>
      <c r="P294" s="460"/>
      <c r="Q294" s="460"/>
      <c r="R294" s="460"/>
      <c r="S294" s="460"/>
      <c r="T294" s="460"/>
      <c r="U294" s="460"/>
    </row>
    <row r="295" spans="1:21" s="490" customFormat="1" ht="17.25" customHeight="1">
      <c r="A295" s="334" t="s">
        <v>740</v>
      </c>
      <c r="B295" s="603" t="s">
        <v>1101</v>
      </c>
      <c r="C295" s="603"/>
      <c r="D295" s="603"/>
      <c r="E295" s="603"/>
      <c r="F295" s="603"/>
      <c r="G295" s="603"/>
      <c r="H295" s="181"/>
      <c r="I295" s="313"/>
      <c r="J295" s="280">
        <v>1287</v>
      </c>
      <c r="K295" s="5"/>
      <c r="L295" s="115" t="str">
        <f t="shared" si="17"/>
        <v>OK</v>
      </c>
      <c r="M295" s="488"/>
      <c r="N295" s="488"/>
      <c r="O295" s="460"/>
      <c r="P295" s="460"/>
      <c r="Q295" s="460"/>
      <c r="R295" s="460"/>
      <c r="S295" s="460"/>
      <c r="T295" s="460"/>
      <c r="U295" s="460"/>
    </row>
    <row r="296" spans="1:21" s="490" customFormat="1" ht="17.25" customHeight="1">
      <c r="A296" s="334" t="s">
        <v>741</v>
      </c>
      <c r="B296" s="603" t="s">
        <v>1102</v>
      </c>
      <c r="C296" s="603"/>
      <c r="D296" s="603"/>
      <c r="E296" s="603"/>
      <c r="F296" s="603"/>
      <c r="G296" s="603"/>
      <c r="H296" s="181"/>
      <c r="I296" s="313"/>
      <c r="J296" s="280">
        <v>1288</v>
      </c>
      <c r="K296" s="5"/>
      <c r="L296" s="115" t="str">
        <f t="shared" si="17"/>
        <v>OK</v>
      </c>
      <c r="M296" s="488"/>
      <c r="N296" s="488"/>
      <c r="O296" s="460"/>
      <c r="P296" s="460"/>
      <c r="Q296" s="460"/>
      <c r="R296" s="460"/>
      <c r="S296" s="460"/>
      <c r="T296" s="460"/>
      <c r="U296" s="460"/>
    </row>
    <row r="297" spans="1:21" s="490" customFormat="1" ht="17.25" customHeight="1">
      <c r="A297" s="334" t="s">
        <v>742</v>
      </c>
      <c r="B297" s="603" t="s">
        <v>1103</v>
      </c>
      <c r="C297" s="603"/>
      <c r="D297" s="603"/>
      <c r="E297" s="603"/>
      <c r="F297" s="603"/>
      <c r="G297" s="603"/>
      <c r="H297" s="181"/>
      <c r="I297" s="313"/>
      <c r="J297" s="280">
        <v>1289</v>
      </c>
      <c r="K297" s="5"/>
      <c r="L297" s="115" t="str">
        <f t="shared" si="17"/>
        <v>OK</v>
      </c>
      <c r="M297" s="488"/>
      <c r="N297" s="488"/>
      <c r="O297" s="460"/>
      <c r="P297" s="460"/>
      <c r="Q297" s="460"/>
      <c r="R297" s="460"/>
      <c r="S297" s="460"/>
      <c r="T297" s="460"/>
      <c r="U297" s="460"/>
    </row>
    <row r="298" spans="1:21" s="490" customFormat="1" ht="17.25" customHeight="1">
      <c r="A298" s="334" t="s">
        <v>743</v>
      </c>
      <c r="B298" s="603" t="s">
        <v>1104</v>
      </c>
      <c r="C298" s="603"/>
      <c r="D298" s="603"/>
      <c r="E298" s="603"/>
      <c r="F298" s="603"/>
      <c r="G298" s="603"/>
      <c r="H298" s="181"/>
      <c r="I298" s="313"/>
      <c r="J298" s="280">
        <v>1290</v>
      </c>
      <c r="K298" s="5"/>
      <c r="L298" s="115" t="str">
        <f t="shared" si="17"/>
        <v>OK</v>
      </c>
      <c r="M298" s="488"/>
      <c r="N298" s="488"/>
      <c r="O298" s="460"/>
      <c r="P298" s="460"/>
      <c r="Q298" s="460"/>
      <c r="R298" s="460"/>
      <c r="S298" s="460"/>
      <c r="T298" s="460"/>
      <c r="U298" s="460"/>
    </row>
    <row r="299" spans="1:21" s="490" customFormat="1" ht="17.25" customHeight="1">
      <c r="A299" s="334" t="s">
        <v>744</v>
      </c>
      <c r="B299" s="603" t="s">
        <v>1547</v>
      </c>
      <c r="C299" s="603"/>
      <c r="D299" s="603"/>
      <c r="E299" s="603"/>
      <c r="F299" s="603"/>
      <c r="G299" s="603"/>
      <c r="H299" s="181"/>
      <c r="I299" s="313"/>
      <c r="J299" s="280">
        <v>1291</v>
      </c>
      <c r="K299" s="5"/>
      <c r="L299" s="115" t="str">
        <f t="shared" si="17"/>
        <v>OK</v>
      </c>
      <c r="M299" s="488"/>
      <c r="N299" s="488"/>
      <c r="O299" s="460"/>
      <c r="P299" s="460"/>
      <c r="Q299" s="460"/>
      <c r="R299" s="460"/>
      <c r="S299" s="460"/>
      <c r="T299" s="460"/>
      <c r="U299" s="460"/>
    </row>
    <row r="300" spans="1:21" s="490" customFormat="1" ht="17.25" customHeight="1" thickBot="1">
      <c r="A300" s="334" t="s">
        <v>745</v>
      </c>
      <c r="B300" s="603" t="s">
        <v>1107</v>
      </c>
      <c r="C300" s="603"/>
      <c r="D300" s="603"/>
      <c r="E300" s="603"/>
      <c r="F300" s="603"/>
      <c r="G300" s="603"/>
      <c r="H300" s="181"/>
      <c r="I300" s="279">
        <f>(SUM(I289:I294))+(I295*0.8)+(I296*0.6)+(I297*0.4)+(I298*0.2)</f>
        <v>0</v>
      </c>
      <c r="J300" s="280">
        <v>1292</v>
      </c>
      <c r="K300" s="5"/>
      <c r="L300" s="488"/>
      <c r="N300" s="488"/>
      <c r="O300" s="460"/>
      <c r="P300" s="460"/>
      <c r="Q300" s="460"/>
      <c r="R300" s="460"/>
      <c r="S300" s="460"/>
      <c r="T300" s="460"/>
      <c r="U300" s="460"/>
    </row>
    <row r="301" spans="1:21" s="490" customFormat="1" ht="17.25" customHeight="1" thickTop="1">
      <c r="A301" s="334" t="s">
        <v>1710</v>
      </c>
      <c r="B301" s="603" t="s">
        <v>1689</v>
      </c>
      <c r="C301" s="603"/>
      <c r="D301" s="603"/>
      <c r="E301" s="603"/>
      <c r="F301" s="603"/>
      <c r="G301" s="603"/>
      <c r="H301" s="181"/>
      <c r="I301" s="14"/>
      <c r="J301" s="280">
        <v>1501</v>
      </c>
      <c r="K301" s="5"/>
      <c r="L301" s="115" t="str">
        <f>IF(I301&lt;=0,"OK","ERROR")</f>
        <v>OK</v>
      </c>
      <c r="N301" s="488"/>
      <c r="O301" s="460"/>
      <c r="P301" s="460"/>
      <c r="Q301" s="460"/>
      <c r="R301" s="460"/>
      <c r="S301" s="460"/>
      <c r="T301" s="460"/>
      <c r="U301" s="460"/>
    </row>
    <row r="302" spans="1:21" s="490" customFormat="1" ht="17.25" customHeight="1">
      <c r="A302" s="334" t="s">
        <v>1711</v>
      </c>
      <c r="B302" s="536" t="s">
        <v>1691</v>
      </c>
      <c r="C302" s="536"/>
      <c r="D302" s="536"/>
      <c r="E302" s="536"/>
      <c r="F302" s="536"/>
      <c r="G302" s="536"/>
      <c r="H302" s="181"/>
      <c r="I302" s="14"/>
      <c r="J302" s="280">
        <v>1502</v>
      </c>
      <c r="K302" s="5"/>
      <c r="L302" s="115" t="str">
        <f t="shared" ref="L302:L307" si="18">IF(I302&lt;=0,"OK","ERROR")</f>
        <v>OK</v>
      </c>
      <c r="N302" s="488"/>
      <c r="O302" s="460"/>
      <c r="P302" s="460"/>
      <c r="Q302" s="460"/>
      <c r="R302" s="460"/>
      <c r="S302" s="460"/>
      <c r="T302" s="460"/>
      <c r="U302" s="460"/>
    </row>
    <row r="303" spans="1:21" s="490" customFormat="1" ht="17.25" customHeight="1">
      <c r="A303" s="334" t="s">
        <v>1712</v>
      </c>
      <c r="B303" s="536" t="s">
        <v>1693</v>
      </c>
      <c r="C303" s="536"/>
      <c r="D303" s="536"/>
      <c r="E303" s="536"/>
      <c r="F303" s="536"/>
      <c r="G303" s="536"/>
      <c r="H303" s="181"/>
      <c r="I303" s="14"/>
      <c r="J303" s="280">
        <v>1503</v>
      </c>
      <c r="K303" s="5"/>
      <c r="L303" s="115" t="str">
        <f t="shared" si="18"/>
        <v>OK</v>
      </c>
      <c r="N303" s="488"/>
      <c r="O303" s="460"/>
      <c r="P303" s="460"/>
      <c r="Q303" s="460"/>
      <c r="R303" s="460"/>
      <c r="S303" s="460"/>
      <c r="T303" s="460"/>
      <c r="U303" s="460"/>
    </row>
    <row r="304" spans="1:21" s="490" customFormat="1" ht="17.25" customHeight="1">
      <c r="A304" s="334" t="s">
        <v>1713</v>
      </c>
      <c r="B304" s="536" t="s">
        <v>1695</v>
      </c>
      <c r="C304" s="536"/>
      <c r="D304" s="536"/>
      <c r="E304" s="536"/>
      <c r="F304" s="536"/>
      <c r="G304" s="536"/>
      <c r="H304" s="181"/>
      <c r="I304" s="14"/>
      <c r="J304" s="280">
        <v>1504</v>
      </c>
      <c r="K304" s="5"/>
      <c r="L304" s="115" t="str">
        <f t="shared" si="18"/>
        <v>OK</v>
      </c>
      <c r="N304" s="488"/>
      <c r="O304" s="460"/>
      <c r="P304" s="460"/>
      <c r="Q304" s="460"/>
      <c r="R304" s="460"/>
      <c r="S304" s="460"/>
      <c r="T304" s="460"/>
      <c r="U304" s="460"/>
    </row>
    <row r="305" spans="1:21" s="490" customFormat="1" ht="17.25" customHeight="1">
      <c r="A305" s="334" t="s">
        <v>1714</v>
      </c>
      <c r="B305" s="536" t="s">
        <v>1697</v>
      </c>
      <c r="C305" s="536"/>
      <c r="D305" s="536"/>
      <c r="E305" s="536"/>
      <c r="F305" s="536"/>
      <c r="G305" s="536"/>
      <c r="H305" s="181"/>
      <c r="I305" s="14"/>
      <c r="J305" s="280">
        <v>1505</v>
      </c>
      <c r="K305" s="5"/>
      <c r="L305" s="115" t="str">
        <f t="shared" si="18"/>
        <v>OK</v>
      </c>
      <c r="N305" s="488"/>
      <c r="O305" s="460"/>
      <c r="P305" s="460"/>
      <c r="Q305" s="460"/>
      <c r="R305" s="460"/>
      <c r="S305" s="460"/>
      <c r="T305" s="460"/>
      <c r="U305" s="460"/>
    </row>
    <row r="306" spans="1:21" s="490" customFormat="1" ht="17.25" customHeight="1">
      <c r="A306" s="334" t="s">
        <v>1715</v>
      </c>
      <c r="B306" s="536" t="s">
        <v>1699</v>
      </c>
      <c r="C306" s="536"/>
      <c r="D306" s="536"/>
      <c r="E306" s="536"/>
      <c r="F306" s="536"/>
      <c r="G306" s="536"/>
      <c r="H306" s="181"/>
      <c r="I306" s="14"/>
      <c r="J306" s="280">
        <v>1506</v>
      </c>
      <c r="K306" s="5"/>
      <c r="L306" s="115" t="str">
        <f t="shared" si="18"/>
        <v>OK</v>
      </c>
      <c r="N306" s="488"/>
      <c r="O306" s="460"/>
      <c r="P306" s="460"/>
      <c r="Q306" s="460"/>
      <c r="R306" s="460"/>
      <c r="S306" s="460"/>
      <c r="T306" s="460"/>
      <c r="U306" s="460"/>
    </row>
    <row r="307" spans="1:21" s="490" customFormat="1" ht="17.25" customHeight="1">
      <c r="A307" s="334" t="s">
        <v>1716</v>
      </c>
      <c r="B307" s="536" t="s">
        <v>1701</v>
      </c>
      <c r="C307" s="536"/>
      <c r="D307" s="536"/>
      <c r="E307" s="536"/>
      <c r="F307" s="536"/>
      <c r="G307" s="536"/>
      <c r="H307" s="181"/>
      <c r="I307" s="14"/>
      <c r="J307" s="280">
        <v>1507</v>
      </c>
      <c r="K307" s="5"/>
      <c r="L307" s="115" t="str">
        <f t="shared" si="18"/>
        <v>OK</v>
      </c>
      <c r="N307" s="488"/>
      <c r="O307" s="460"/>
      <c r="P307" s="460"/>
      <c r="Q307" s="460"/>
      <c r="R307" s="460"/>
      <c r="S307" s="460"/>
      <c r="T307" s="460"/>
      <c r="U307" s="460"/>
    </row>
    <row r="308" spans="1:21" s="490" customFormat="1" ht="17.25" customHeight="1">
      <c r="A308" s="334" t="s">
        <v>746</v>
      </c>
      <c r="B308" s="603" t="s">
        <v>1702</v>
      </c>
      <c r="C308" s="523"/>
      <c r="D308" s="523"/>
      <c r="E308" s="523"/>
      <c r="F308" s="523"/>
      <c r="G308" s="523"/>
      <c r="H308" s="181"/>
      <c r="I308" s="186"/>
      <c r="J308" s="280">
        <v>1293</v>
      </c>
      <c r="K308" s="5"/>
      <c r="L308" s="488"/>
      <c r="N308" s="488"/>
      <c r="O308" s="460"/>
      <c r="P308" s="460"/>
      <c r="Q308" s="460"/>
      <c r="R308" s="460"/>
      <c r="S308" s="460"/>
      <c r="T308" s="460"/>
      <c r="U308" s="460"/>
    </row>
    <row r="309" spans="1:21" s="490" customFormat="1" ht="33" customHeight="1" thickBot="1">
      <c r="A309" s="330" t="s">
        <v>772</v>
      </c>
      <c r="B309" s="612" t="s">
        <v>1108</v>
      </c>
      <c r="C309" s="613"/>
      <c r="D309" s="613"/>
      <c r="E309" s="613"/>
      <c r="F309" s="613"/>
      <c r="G309" s="613"/>
      <c r="H309" s="181"/>
      <c r="I309" s="279">
        <f>SUM(I311:I320)</f>
        <v>0</v>
      </c>
      <c r="J309" s="280">
        <v>1296</v>
      </c>
      <c r="K309" s="5"/>
      <c r="O309" s="460"/>
      <c r="P309" s="460"/>
      <c r="Q309" s="460"/>
      <c r="R309" s="460"/>
      <c r="S309" s="460"/>
      <c r="T309" s="460"/>
      <c r="U309" s="460"/>
    </row>
    <row r="310" spans="1:21" s="490" customFormat="1" ht="7.5" customHeight="1" thickTop="1">
      <c r="A310" s="334"/>
      <c r="B310" s="614"/>
      <c r="C310" s="614"/>
      <c r="D310" s="614"/>
      <c r="E310" s="614"/>
      <c r="F310" s="614"/>
      <c r="G310" s="614"/>
      <c r="H310" s="181"/>
      <c r="I310" s="335"/>
      <c r="J310" s="280"/>
      <c r="K310" s="491"/>
      <c r="N310" s="488"/>
      <c r="O310" s="460"/>
      <c r="P310" s="460"/>
      <c r="Q310" s="460"/>
      <c r="R310" s="460"/>
      <c r="S310" s="460"/>
      <c r="T310" s="460"/>
      <c r="U310" s="460"/>
    </row>
    <row r="311" spans="1:21" s="490" customFormat="1" ht="17.25" customHeight="1">
      <c r="A311" s="334" t="s">
        <v>747</v>
      </c>
      <c r="B311" s="568" t="s">
        <v>1095</v>
      </c>
      <c r="C311" s="568"/>
      <c r="D311" s="568"/>
      <c r="E311" s="568"/>
      <c r="F311" s="568"/>
      <c r="G311" s="568"/>
      <c r="H311" s="181"/>
      <c r="I311" s="186"/>
      <c r="J311" s="280">
        <v>1297</v>
      </c>
      <c r="K311" s="5"/>
      <c r="L311" s="115" t="str">
        <f t="shared" ref="L311:L321" si="19">IF(I311&gt;=0,"OK","ERROR")</f>
        <v>OK</v>
      </c>
      <c r="N311" s="488"/>
      <c r="O311" s="460"/>
      <c r="P311" s="460"/>
      <c r="Q311" s="460"/>
      <c r="R311" s="460"/>
      <c r="S311" s="460"/>
      <c r="T311" s="460"/>
      <c r="U311" s="460"/>
    </row>
    <row r="312" spans="1:21" s="490" customFormat="1" ht="17.25" customHeight="1">
      <c r="A312" s="334" t="s">
        <v>748</v>
      </c>
      <c r="B312" s="603" t="s">
        <v>1096</v>
      </c>
      <c r="C312" s="603"/>
      <c r="D312" s="603"/>
      <c r="E312" s="603"/>
      <c r="F312" s="603"/>
      <c r="G312" s="603"/>
      <c r="H312" s="181"/>
      <c r="I312" s="186"/>
      <c r="J312" s="280">
        <v>1298</v>
      </c>
      <c r="K312" s="5"/>
      <c r="L312" s="115" t="str">
        <f t="shared" si="19"/>
        <v>OK</v>
      </c>
      <c r="N312" s="488"/>
      <c r="O312" s="460"/>
      <c r="P312" s="460"/>
      <c r="Q312" s="460"/>
      <c r="R312" s="460"/>
      <c r="S312" s="460"/>
      <c r="T312" s="460"/>
      <c r="U312" s="460"/>
    </row>
    <row r="313" spans="1:21" s="490" customFormat="1" ht="17.25" customHeight="1">
      <c r="A313" s="334" t="s">
        <v>749</v>
      </c>
      <c r="B313" s="603" t="s">
        <v>1097</v>
      </c>
      <c r="C313" s="603"/>
      <c r="D313" s="603"/>
      <c r="E313" s="603"/>
      <c r="F313" s="603"/>
      <c r="G313" s="603"/>
      <c r="H313" s="181"/>
      <c r="I313" s="186"/>
      <c r="J313" s="280">
        <v>1299</v>
      </c>
      <c r="K313" s="5"/>
      <c r="L313" s="115" t="str">
        <f t="shared" si="19"/>
        <v>OK</v>
      </c>
      <c r="N313" s="488"/>
      <c r="O313" s="460"/>
      <c r="P313" s="460"/>
      <c r="Q313" s="460"/>
      <c r="R313" s="460"/>
      <c r="S313" s="460"/>
      <c r="T313" s="460"/>
      <c r="U313" s="460"/>
    </row>
    <row r="314" spans="1:21" s="490" customFormat="1" ht="17.25" customHeight="1">
      <c r="A314" s="334" t="s">
        <v>750</v>
      </c>
      <c r="B314" s="603" t="s">
        <v>1098</v>
      </c>
      <c r="C314" s="603"/>
      <c r="D314" s="603"/>
      <c r="E314" s="603"/>
      <c r="F314" s="603"/>
      <c r="G314" s="603"/>
      <c r="H314" s="181"/>
      <c r="I314" s="186"/>
      <c r="J314" s="280">
        <v>1300</v>
      </c>
      <c r="K314" s="5"/>
      <c r="L314" s="115" t="str">
        <f t="shared" si="19"/>
        <v>OK</v>
      </c>
      <c r="N314" s="488"/>
      <c r="O314" s="460"/>
      <c r="P314" s="460"/>
      <c r="Q314" s="460"/>
      <c r="R314" s="460"/>
      <c r="S314" s="460"/>
      <c r="T314" s="460"/>
      <c r="U314" s="460"/>
    </row>
    <row r="315" spans="1:21" s="490" customFormat="1" ht="17.25" customHeight="1">
      <c r="A315" s="334" t="s">
        <v>751</v>
      </c>
      <c r="B315" s="603" t="s">
        <v>1099</v>
      </c>
      <c r="C315" s="603"/>
      <c r="D315" s="603"/>
      <c r="E315" s="603"/>
      <c r="F315" s="603"/>
      <c r="G315" s="603"/>
      <c r="H315" s="181"/>
      <c r="I315" s="186"/>
      <c r="J315" s="280">
        <v>1301</v>
      </c>
      <c r="K315" s="5"/>
      <c r="L315" s="115" t="str">
        <f t="shared" si="19"/>
        <v>OK</v>
      </c>
      <c r="N315" s="488"/>
      <c r="O315" s="460"/>
      <c r="P315" s="460"/>
      <c r="Q315" s="460"/>
      <c r="R315" s="460"/>
      <c r="S315" s="460"/>
      <c r="T315" s="460"/>
      <c r="U315" s="460"/>
    </row>
    <row r="316" spans="1:21" s="490" customFormat="1" ht="17.25" customHeight="1">
      <c r="A316" s="334" t="s">
        <v>752</v>
      </c>
      <c r="B316" s="603" t="s">
        <v>1100</v>
      </c>
      <c r="C316" s="603"/>
      <c r="D316" s="603"/>
      <c r="E316" s="603"/>
      <c r="F316" s="603"/>
      <c r="G316" s="603"/>
      <c r="H316" s="181"/>
      <c r="I316" s="186"/>
      <c r="J316" s="280">
        <v>1302</v>
      </c>
      <c r="K316" s="5"/>
      <c r="L316" s="115" t="str">
        <f t="shared" si="19"/>
        <v>OK</v>
      </c>
      <c r="N316" s="488"/>
      <c r="O316" s="460"/>
      <c r="P316" s="460"/>
      <c r="Q316" s="460"/>
      <c r="R316" s="460"/>
      <c r="S316" s="460"/>
      <c r="T316" s="460"/>
      <c r="U316" s="460"/>
    </row>
    <row r="317" spans="1:21" s="490" customFormat="1" ht="17.25" customHeight="1">
      <c r="A317" s="334" t="s">
        <v>753</v>
      </c>
      <c r="B317" s="603" t="s">
        <v>1101</v>
      </c>
      <c r="C317" s="603"/>
      <c r="D317" s="603"/>
      <c r="E317" s="603"/>
      <c r="F317" s="603"/>
      <c r="G317" s="603"/>
      <c r="H317" s="181"/>
      <c r="I317" s="313"/>
      <c r="J317" s="280">
        <v>1303</v>
      </c>
      <c r="K317" s="5"/>
      <c r="L317" s="115" t="str">
        <f t="shared" si="19"/>
        <v>OK</v>
      </c>
      <c r="N317" s="488"/>
      <c r="O317" s="460"/>
      <c r="P317" s="460"/>
      <c r="Q317" s="460"/>
      <c r="R317" s="460"/>
      <c r="S317" s="460"/>
      <c r="T317" s="460"/>
      <c r="U317" s="460"/>
    </row>
    <row r="318" spans="1:21" s="490" customFormat="1" ht="17.25" customHeight="1">
      <c r="A318" s="334" t="s">
        <v>754</v>
      </c>
      <c r="B318" s="603" t="s">
        <v>1102</v>
      </c>
      <c r="C318" s="603"/>
      <c r="D318" s="603"/>
      <c r="E318" s="603"/>
      <c r="F318" s="603"/>
      <c r="G318" s="603"/>
      <c r="H318" s="181"/>
      <c r="I318" s="313"/>
      <c r="J318" s="280">
        <v>1304</v>
      </c>
      <c r="K318" s="5"/>
      <c r="L318" s="115" t="str">
        <f t="shared" si="19"/>
        <v>OK</v>
      </c>
      <c r="N318" s="488"/>
      <c r="O318" s="460"/>
      <c r="P318" s="460"/>
      <c r="Q318" s="460"/>
      <c r="R318" s="460"/>
      <c r="S318" s="460"/>
      <c r="T318" s="460"/>
      <c r="U318" s="460"/>
    </row>
    <row r="319" spans="1:21" s="490" customFormat="1" ht="17.25" customHeight="1">
      <c r="A319" s="334" t="s">
        <v>755</v>
      </c>
      <c r="B319" s="603" t="s">
        <v>1103</v>
      </c>
      <c r="C319" s="603"/>
      <c r="D319" s="603"/>
      <c r="E319" s="603"/>
      <c r="F319" s="603"/>
      <c r="G319" s="603"/>
      <c r="H319" s="181"/>
      <c r="I319" s="313"/>
      <c r="J319" s="280">
        <v>1305</v>
      </c>
      <c r="K319" s="5"/>
      <c r="L319" s="115" t="str">
        <f t="shared" si="19"/>
        <v>OK</v>
      </c>
      <c r="N319" s="488"/>
      <c r="O319" s="460"/>
      <c r="P319" s="460"/>
      <c r="Q319" s="460"/>
      <c r="R319" s="460"/>
      <c r="S319" s="460"/>
      <c r="T319" s="460"/>
      <c r="U319" s="460"/>
    </row>
    <row r="320" spans="1:21" s="490" customFormat="1" ht="17.25" customHeight="1">
      <c r="A320" s="334" t="s">
        <v>756</v>
      </c>
      <c r="B320" s="603" t="s">
        <v>1104</v>
      </c>
      <c r="C320" s="603"/>
      <c r="D320" s="603"/>
      <c r="E320" s="603"/>
      <c r="F320" s="603"/>
      <c r="G320" s="603"/>
      <c r="H320" s="181"/>
      <c r="I320" s="313"/>
      <c r="J320" s="280">
        <v>1306</v>
      </c>
      <c r="K320" s="5"/>
      <c r="L320" s="115" t="str">
        <f t="shared" si="19"/>
        <v>OK</v>
      </c>
      <c r="N320" s="488"/>
      <c r="O320" s="460"/>
      <c r="P320" s="460"/>
      <c r="Q320" s="460"/>
      <c r="R320" s="460"/>
      <c r="S320" s="460"/>
      <c r="T320" s="460"/>
      <c r="U320" s="460"/>
    </row>
    <row r="321" spans="1:21" s="490" customFormat="1" ht="17.25" customHeight="1">
      <c r="A321" s="334" t="s">
        <v>757</v>
      </c>
      <c r="B321" s="603" t="s">
        <v>1547</v>
      </c>
      <c r="C321" s="603"/>
      <c r="D321" s="603"/>
      <c r="E321" s="603"/>
      <c r="F321" s="603"/>
      <c r="G321" s="603"/>
      <c r="H321" s="181"/>
      <c r="I321" s="313"/>
      <c r="J321" s="280">
        <v>1307</v>
      </c>
      <c r="K321" s="5"/>
      <c r="L321" s="115" t="str">
        <f t="shared" si="19"/>
        <v>OK</v>
      </c>
      <c r="N321" s="488"/>
      <c r="O321" s="460"/>
      <c r="P321" s="460"/>
      <c r="Q321" s="460"/>
      <c r="R321" s="460"/>
      <c r="S321" s="460"/>
      <c r="T321" s="460"/>
      <c r="U321" s="460"/>
    </row>
    <row r="322" spans="1:21" s="490" customFormat="1" ht="17.25" customHeight="1" thickBot="1">
      <c r="A322" s="334" t="s">
        <v>758</v>
      </c>
      <c r="B322" s="603" t="s">
        <v>1107</v>
      </c>
      <c r="C322" s="603"/>
      <c r="D322" s="603"/>
      <c r="E322" s="603"/>
      <c r="F322" s="603"/>
      <c r="G322" s="603"/>
      <c r="H322" s="181"/>
      <c r="I322" s="279">
        <f>(SUM(I311:I316))+(I317*0.8)+(I318*0.6)+(I319*0.4)+(I320*0.2)</f>
        <v>0</v>
      </c>
      <c r="J322" s="280">
        <v>1308</v>
      </c>
      <c r="K322" s="5"/>
      <c r="N322" s="488"/>
      <c r="O322" s="460"/>
      <c r="P322" s="460"/>
      <c r="Q322" s="460"/>
      <c r="R322" s="460"/>
      <c r="S322" s="460"/>
      <c r="T322" s="460"/>
      <c r="U322" s="460"/>
    </row>
    <row r="323" spans="1:21" s="490" customFormat="1" ht="17.25" customHeight="1" thickTop="1">
      <c r="A323" s="334" t="s">
        <v>1717</v>
      </c>
      <c r="B323" s="603" t="s">
        <v>1689</v>
      </c>
      <c r="C323" s="603"/>
      <c r="D323" s="603"/>
      <c r="E323" s="603"/>
      <c r="F323" s="603"/>
      <c r="G323" s="603"/>
      <c r="H323" s="181"/>
      <c r="I323" s="14"/>
      <c r="J323" s="280">
        <v>1508</v>
      </c>
      <c r="K323" s="5"/>
      <c r="L323" s="115" t="str">
        <f>IF(I323&lt;=0,"OK","ERROR")</f>
        <v>OK</v>
      </c>
      <c r="N323" s="488"/>
      <c r="O323" s="460"/>
      <c r="P323" s="460"/>
      <c r="Q323" s="460"/>
      <c r="R323" s="460"/>
      <c r="S323" s="460"/>
      <c r="T323" s="460"/>
      <c r="U323" s="460"/>
    </row>
    <row r="324" spans="1:21" s="490" customFormat="1" ht="17.25" customHeight="1">
      <c r="A324" s="334" t="s">
        <v>1718</v>
      </c>
      <c r="B324" s="536" t="s">
        <v>1691</v>
      </c>
      <c r="C324" s="536"/>
      <c r="D324" s="536"/>
      <c r="E324" s="536"/>
      <c r="F324" s="536"/>
      <c r="G324" s="536"/>
      <c r="H324" s="181"/>
      <c r="I324" s="14"/>
      <c r="J324" s="280">
        <v>1509</v>
      </c>
      <c r="K324" s="5"/>
      <c r="L324" s="115" t="str">
        <f t="shared" ref="L324:L329" si="20">IF(I324&lt;=0,"OK","ERROR")</f>
        <v>OK</v>
      </c>
      <c r="N324" s="488"/>
      <c r="O324" s="460"/>
      <c r="P324" s="460"/>
      <c r="Q324" s="460"/>
      <c r="R324" s="460"/>
      <c r="S324" s="460"/>
      <c r="T324" s="460"/>
      <c r="U324" s="460"/>
    </row>
    <row r="325" spans="1:21" s="490" customFormat="1" ht="17.25" customHeight="1">
      <c r="A325" s="334" t="s">
        <v>1719</v>
      </c>
      <c r="B325" s="536" t="s">
        <v>1693</v>
      </c>
      <c r="C325" s="536"/>
      <c r="D325" s="536"/>
      <c r="E325" s="536"/>
      <c r="F325" s="536"/>
      <c r="G325" s="536"/>
      <c r="H325" s="181"/>
      <c r="I325" s="14"/>
      <c r="J325" s="280">
        <v>1510</v>
      </c>
      <c r="K325" s="5"/>
      <c r="L325" s="115" t="str">
        <f t="shared" si="20"/>
        <v>OK</v>
      </c>
      <c r="N325" s="488"/>
      <c r="O325" s="460"/>
      <c r="P325" s="460"/>
      <c r="Q325" s="460"/>
      <c r="R325" s="460"/>
      <c r="S325" s="460"/>
      <c r="T325" s="460"/>
      <c r="U325" s="460"/>
    </row>
    <row r="326" spans="1:21" s="490" customFormat="1" ht="17.25" customHeight="1">
      <c r="A326" s="334" t="s">
        <v>1720</v>
      </c>
      <c r="B326" s="536" t="s">
        <v>1695</v>
      </c>
      <c r="C326" s="536"/>
      <c r="D326" s="536"/>
      <c r="E326" s="536"/>
      <c r="F326" s="536"/>
      <c r="G326" s="536"/>
      <c r="H326" s="181"/>
      <c r="I326" s="14"/>
      <c r="J326" s="280">
        <v>1511</v>
      </c>
      <c r="K326" s="5"/>
      <c r="L326" s="115" t="str">
        <f t="shared" si="20"/>
        <v>OK</v>
      </c>
      <c r="N326" s="488"/>
      <c r="O326" s="460"/>
      <c r="P326" s="460"/>
      <c r="Q326" s="460"/>
      <c r="R326" s="460"/>
      <c r="S326" s="460"/>
      <c r="T326" s="460"/>
      <c r="U326" s="460"/>
    </row>
    <row r="327" spans="1:21" s="490" customFormat="1" ht="17.25" customHeight="1">
      <c r="A327" s="334" t="s">
        <v>1721</v>
      </c>
      <c r="B327" s="536" t="s">
        <v>1697</v>
      </c>
      <c r="C327" s="536"/>
      <c r="D327" s="536"/>
      <c r="E327" s="536"/>
      <c r="F327" s="536"/>
      <c r="G327" s="536"/>
      <c r="H327" s="181"/>
      <c r="I327" s="14"/>
      <c r="J327" s="280">
        <v>1512</v>
      </c>
      <c r="K327" s="5"/>
      <c r="L327" s="115" t="str">
        <f t="shared" si="20"/>
        <v>OK</v>
      </c>
      <c r="N327" s="488"/>
      <c r="O327" s="460"/>
      <c r="P327" s="460"/>
      <c r="Q327" s="460"/>
      <c r="R327" s="460"/>
      <c r="S327" s="460"/>
      <c r="T327" s="460"/>
      <c r="U327" s="460"/>
    </row>
    <row r="328" spans="1:21" s="490" customFormat="1" ht="17.25" customHeight="1">
      <c r="A328" s="334" t="s">
        <v>1722</v>
      </c>
      <c r="B328" s="536" t="s">
        <v>1699</v>
      </c>
      <c r="C328" s="536"/>
      <c r="D328" s="536"/>
      <c r="E328" s="536"/>
      <c r="F328" s="536"/>
      <c r="G328" s="536"/>
      <c r="H328" s="181"/>
      <c r="I328" s="14"/>
      <c r="J328" s="280">
        <v>1513</v>
      </c>
      <c r="K328" s="5"/>
      <c r="L328" s="115" t="str">
        <f t="shared" si="20"/>
        <v>OK</v>
      </c>
      <c r="N328" s="488"/>
      <c r="O328" s="460"/>
      <c r="P328" s="460"/>
      <c r="Q328" s="460"/>
      <c r="R328" s="460"/>
      <c r="S328" s="460"/>
      <c r="T328" s="460"/>
      <c r="U328" s="460"/>
    </row>
    <row r="329" spans="1:21" s="490" customFormat="1" ht="17.25" customHeight="1">
      <c r="A329" s="334" t="s">
        <v>1723</v>
      </c>
      <c r="B329" s="536" t="s">
        <v>1701</v>
      </c>
      <c r="C329" s="536"/>
      <c r="D329" s="536"/>
      <c r="E329" s="536"/>
      <c r="F329" s="536"/>
      <c r="G329" s="536"/>
      <c r="H329" s="181"/>
      <c r="I329" s="14"/>
      <c r="J329" s="280">
        <v>1514</v>
      </c>
      <c r="K329" s="5"/>
      <c r="L329" s="115" t="str">
        <f t="shared" si="20"/>
        <v>OK</v>
      </c>
      <c r="N329" s="488"/>
      <c r="O329" s="460"/>
      <c r="P329" s="460"/>
      <c r="Q329" s="460"/>
      <c r="R329" s="460"/>
      <c r="S329" s="460"/>
      <c r="T329" s="460"/>
      <c r="U329" s="460"/>
    </row>
    <row r="330" spans="1:21" s="490" customFormat="1" ht="17.25" customHeight="1">
      <c r="A330" s="334" t="s">
        <v>1109</v>
      </c>
      <c r="B330" s="603" t="s">
        <v>1548</v>
      </c>
      <c r="C330" s="603"/>
      <c r="D330" s="603"/>
      <c r="E330" s="603"/>
      <c r="F330" s="603"/>
      <c r="G330" s="603"/>
      <c r="H330" s="181"/>
      <c r="I330" s="186"/>
      <c r="J330" s="280">
        <v>1309</v>
      </c>
      <c r="K330" s="5"/>
      <c r="N330" s="488"/>
      <c r="O330" s="460"/>
      <c r="P330" s="460"/>
      <c r="Q330" s="460"/>
      <c r="R330" s="460"/>
      <c r="S330" s="460"/>
      <c r="T330" s="460"/>
      <c r="U330" s="460"/>
    </row>
    <row r="331" spans="1:21" s="490" customFormat="1" ht="33" customHeight="1" thickBot="1">
      <c r="A331" s="330" t="s">
        <v>771</v>
      </c>
      <c r="B331" s="612" t="s">
        <v>1753</v>
      </c>
      <c r="C331" s="613"/>
      <c r="D331" s="613"/>
      <c r="E331" s="613"/>
      <c r="F331" s="613"/>
      <c r="G331" s="613"/>
      <c r="H331" s="181"/>
      <c r="I331" s="309">
        <f>SUM(I333:I342)</f>
        <v>0</v>
      </c>
      <c r="J331" s="280">
        <v>1312</v>
      </c>
      <c r="K331" s="5"/>
      <c r="O331" s="460"/>
      <c r="P331" s="460"/>
      <c r="Q331" s="460"/>
      <c r="R331" s="460"/>
      <c r="S331" s="460"/>
      <c r="T331" s="460"/>
      <c r="U331" s="460"/>
    </row>
    <row r="332" spans="1:21" s="490" customFormat="1" ht="7.5" customHeight="1" thickTop="1">
      <c r="A332" s="334"/>
      <c r="B332" s="614"/>
      <c r="C332" s="614"/>
      <c r="D332" s="614"/>
      <c r="E332" s="614"/>
      <c r="F332" s="614"/>
      <c r="G332" s="614"/>
      <c r="H332" s="181"/>
      <c r="I332" s="335"/>
      <c r="J332" s="280"/>
      <c r="K332" s="491"/>
      <c r="N332" s="488"/>
      <c r="O332" s="460"/>
      <c r="P332" s="460"/>
      <c r="Q332" s="460"/>
      <c r="R332" s="460"/>
      <c r="S332" s="460"/>
      <c r="T332" s="460"/>
      <c r="U332" s="460"/>
    </row>
    <row r="333" spans="1:21" s="490" customFormat="1" ht="17.25" customHeight="1">
      <c r="A333" s="334" t="s">
        <v>759</v>
      </c>
      <c r="B333" s="568" t="s">
        <v>1095</v>
      </c>
      <c r="C333" s="568"/>
      <c r="D333" s="568"/>
      <c r="E333" s="568"/>
      <c r="F333" s="568"/>
      <c r="G333" s="568"/>
      <c r="H333" s="181"/>
      <c r="I333" s="313"/>
      <c r="J333" s="280">
        <v>1313</v>
      </c>
      <c r="K333" s="5"/>
      <c r="L333" s="115" t="str">
        <f t="shared" ref="L333:L360" si="21">IF(I333&gt;=0,"OK","ERROR")</f>
        <v>OK</v>
      </c>
      <c r="N333" s="488"/>
      <c r="O333" s="460"/>
      <c r="P333" s="460"/>
      <c r="Q333" s="460"/>
      <c r="R333" s="460"/>
      <c r="S333" s="460"/>
      <c r="T333" s="460"/>
      <c r="U333" s="460"/>
    </row>
    <row r="334" spans="1:21" s="490" customFormat="1" ht="17.25" customHeight="1">
      <c r="A334" s="334" t="s">
        <v>760</v>
      </c>
      <c r="B334" s="603" t="s">
        <v>1096</v>
      </c>
      <c r="C334" s="603"/>
      <c r="D334" s="603"/>
      <c r="E334" s="603"/>
      <c r="F334" s="603"/>
      <c r="G334" s="603"/>
      <c r="H334" s="181"/>
      <c r="I334" s="313"/>
      <c r="J334" s="280">
        <v>1314</v>
      </c>
      <c r="K334" s="5"/>
      <c r="L334" s="115" t="str">
        <f t="shared" si="21"/>
        <v>OK</v>
      </c>
      <c r="N334" s="488"/>
      <c r="O334" s="460"/>
      <c r="P334" s="460"/>
      <c r="Q334" s="460"/>
      <c r="R334" s="460"/>
      <c r="S334" s="460"/>
      <c r="T334" s="460"/>
      <c r="U334" s="460"/>
    </row>
    <row r="335" spans="1:21" s="490" customFormat="1" ht="17.25" customHeight="1">
      <c r="A335" s="334" t="s">
        <v>761</v>
      </c>
      <c r="B335" s="603" t="s">
        <v>1097</v>
      </c>
      <c r="C335" s="603"/>
      <c r="D335" s="603"/>
      <c r="E335" s="603"/>
      <c r="F335" s="603"/>
      <c r="G335" s="603"/>
      <c r="H335" s="181"/>
      <c r="I335" s="313"/>
      <c r="J335" s="280">
        <v>1315</v>
      </c>
      <c r="K335" s="5"/>
      <c r="L335" s="115" t="str">
        <f t="shared" si="21"/>
        <v>OK</v>
      </c>
      <c r="N335" s="488"/>
      <c r="O335" s="460"/>
      <c r="P335" s="460"/>
      <c r="Q335" s="460"/>
      <c r="R335" s="460"/>
      <c r="S335" s="460"/>
      <c r="T335" s="460"/>
      <c r="U335" s="460"/>
    </row>
    <row r="336" spans="1:21" s="490" customFormat="1" ht="17.25" customHeight="1">
      <c r="A336" s="334" t="s">
        <v>762</v>
      </c>
      <c r="B336" s="603" t="s">
        <v>1098</v>
      </c>
      <c r="C336" s="603"/>
      <c r="D336" s="603"/>
      <c r="E336" s="603"/>
      <c r="F336" s="603"/>
      <c r="G336" s="603"/>
      <c r="H336" s="181"/>
      <c r="I336" s="313"/>
      <c r="J336" s="280">
        <v>1316</v>
      </c>
      <c r="K336" s="5"/>
      <c r="L336" s="115" t="str">
        <f t="shared" si="21"/>
        <v>OK</v>
      </c>
      <c r="N336" s="488"/>
      <c r="O336" s="460"/>
      <c r="P336" s="460"/>
      <c r="Q336" s="460"/>
      <c r="R336" s="460"/>
      <c r="S336" s="460"/>
      <c r="T336" s="460"/>
      <c r="U336" s="460"/>
    </row>
    <row r="337" spans="1:21" s="490" customFormat="1" ht="17.25" customHeight="1">
      <c r="A337" s="334" t="s">
        <v>763</v>
      </c>
      <c r="B337" s="603" t="s">
        <v>1099</v>
      </c>
      <c r="C337" s="603"/>
      <c r="D337" s="603"/>
      <c r="E337" s="603"/>
      <c r="F337" s="603"/>
      <c r="G337" s="603"/>
      <c r="H337" s="181"/>
      <c r="I337" s="313"/>
      <c r="J337" s="280">
        <v>1317</v>
      </c>
      <c r="K337" s="5"/>
      <c r="L337" s="115" t="str">
        <f t="shared" si="21"/>
        <v>OK</v>
      </c>
      <c r="N337" s="488"/>
      <c r="O337" s="460"/>
      <c r="P337" s="460"/>
      <c r="Q337" s="460"/>
      <c r="R337" s="460"/>
      <c r="S337" s="460"/>
      <c r="T337" s="460"/>
      <c r="U337" s="460"/>
    </row>
    <row r="338" spans="1:21" s="490" customFormat="1" ht="17.25" customHeight="1">
      <c r="A338" s="334" t="s">
        <v>764</v>
      </c>
      <c r="B338" s="603" t="s">
        <v>1100</v>
      </c>
      <c r="C338" s="603"/>
      <c r="D338" s="603"/>
      <c r="E338" s="603"/>
      <c r="F338" s="603"/>
      <c r="G338" s="603"/>
      <c r="H338" s="181"/>
      <c r="I338" s="313"/>
      <c r="J338" s="280">
        <v>1318</v>
      </c>
      <c r="K338" s="5"/>
      <c r="L338" s="115" t="str">
        <f t="shared" si="21"/>
        <v>OK</v>
      </c>
      <c r="N338" s="488"/>
      <c r="O338" s="460"/>
      <c r="P338" s="460"/>
      <c r="Q338" s="460"/>
      <c r="R338" s="460"/>
      <c r="S338" s="460"/>
      <c r="T338" s="460"/>
      <c r="U338" s="460"/>
    </row>
    <row r="339" spans="1:21" s="490" customFormat="1" ht="17.25" customHeight="1">
      <c r="A339" s="334" t="s">
        <v>765</v>
      </c>
      <c r="B339" s="603" t="s">
        <v>1101</v>
      </c>
      <c r="C339" s="603"/>
      <c r="D339" s="603"/>
      <c r="E339" s="603"/>
      <c r="F339" s="603"/>
      <c r="G339" s="603"/>
      <c r="H339" s="181"/>
      <c r="I339" s="313"/>
      <c r="J339" s="280">
        <v>1319</v>
      </c>
      <c r="K339" s="5"/>
      <c r="L339" s="115" t="str">
        <f t="shared" si="21"/>
        <v>OK</v>
      </c>
      <c r="N339" s="488"/>
      <c r="O339" s="460"/>
      <c r="P339" s="460"/>
      <c r="Q339" s="460"/>
      <c r="R339" s="460"/>
      <c r="S339" s="460"/>
      <c r="T339" s="460"/>
      <c r="U339" s="460"/>
    </row>
    <row r="340" spans="1:21" s="490" customFormat="1" ht="17.25" customHeight="1">
      <c r="A340" s="334" t="s">
        <v>766</v>
      </c>
      <c r="B340" s="603" t="s">
        <v>1102</v>
      </c>
      <c r="C340" s="603"/>
      <c r="D340" s="603"/>
      <c r="E340" s="603"/>
      <c r="F340" s="603"/>
      <c r="G340" s="603"/>
      <c r="H340" s="181"/>
      <c r="I340" s="313"/>
      <c r="J340" s="280">
        <v>1320</v>
      </c>
      <c r="K340" s="5"/>
      <c r="L340" s="115" t="str">
        <f t="shared" si="21"/>
        <v>OK</v>
      </c>
      <c r="N340" s="488"/>
      <c r="O340" s="460"/>
      <c r="P340" s="460"/>
      <c r="Q340" s="460"/>
      <c r="R340" s="460"/>
      <c r="S340" s="460"/>
      <c r="T340" s="460"/>
      <c r="U340" s="460"/>
    </row>
    <row r="341" spans="1:21" s="490" customFormat="1" ht="17.25" customHeight="1">
      <c r="A341" s="334" t="s">
        <v>767</v>
      </c>
      <c r="B341" s="603" t="s">
        <v>1103</v>
      </c>
      <c r="C341" s="603"/>
      <c r="D341" s="603"/>
      <c r="E341" s="603"/>
      <c r="F341" s="603"/>
      <c r="G341" s="603"/>
      <c r="H341" s="181"/>
      <c r="I341" s="313"/>
      <c r="J341" s="280">
        <v>1321</v>
      </c>
      <c r="K341" s="5"/>
      <c r="L341" s="115" t="str">
        <f t="shared" si="21"/>
        <v>OK</v>
      </c>
      <c r="N341" s="488"/>
      <c r="O341" s="460"/>
      <c r="P341" s="460"/>
      <c r="Q341" s="460"/>
      <c r="R341" s="460"/>
      <c r="S341" s="460"/>
      <c r="T341" s="460"/>
      <c r="U341" s="460"/>
    </row>
    <row r="342" spans="1:21" s="490" customFormat="1" ht="17.25" customHeight="1">
      <c r="A342" s="334" t="s">
        <v>768</v>
      </c>
      <c r="B342" s="603" t="s">
        <v>1104</v>
      </c>
      <c r="C342" s="603"/>
      <c r="D342" s="603"/>
      <c r="E342" s="603"/>
      <c r="F342" s="603"/>
      <c r="G342" s="603"/>
      <c r="H342" s="181"/>
      <c r="I342" s="313"/>
      <c r="J342" s="280">
        <v>1322</v>
      </c>
      <c r="K342" s="5"/>
      <c r="L342" s="115" t="str">
        <f t="shared" si="21"/>
        <v>OK</v>
      </c>
      <c r="N342" s="488"/>
      <c r="O342" s="460"/>
      <c r="P342" s="460"/>
      <c r="Q342" s="460"/>
      <c r="R342" s="460"/>
      <c r="S342" s="460"/>
      <c r="T342" s="460"/>
      <c r="U342" s="460"/>
    </row>
    <row r="343" spans="1:21" s="490" customFormat="1" ht="17.25" customHeight="1">
      <c r="A343" s="334" t="s">
        <v>769</v>
      </c>
      <c r="B343" s="603" t="s">
        <v>1547</v>
      </c>
      <c r="C343" s="603"/>
      <c r="D343" s="603"/>
      <c r="E343" s="603"/>
      <c r="F343" s="603"/>
      <c r="G343" s="603"/>
      <c r="H343" s="181"/>
      <c r="I343" s="313"/>
      <c r="J343" s="280">
        <v>1323</v>
      </c>
      <c r="K343" s="5"/>
      <c r="L343" s="115" t="str">
        <f t="shared" si="21"/>
        <v>OK</v>
      </c>
      <c r="N343" s="488"/>
      <c r="O343" s="460"/>
      <c r="P343" s="460"/>
      <c r="Q343" s="460"/>
      <c r="R343" s="460"/>
      <c r="S343" s="460"/>
      <c r="T343" s="460"/>
      <c r="U343" s="460"/>
    </row>
    <row r="344" spans="1:21" s="490" customFormat="1" ht="17.25" customHeight="1">
      <c r="A344" s="334" t="s">
        <v>770</v>
      </c>
      <c r="B344" s="603" t="s">
        <v>1689</v>
      </c>
      <c r="C344" s="603"/>
      <c r="D344" s="603"/>
      <c r="E344" s="603"/>
      <c r="F344" s="603"/>
      <c r="G344" s="603"/>
      <c r="H344" s="181"/>
      <c r="I344" s="14"/>
      <c r="J344" s="280">
        <v>1515</v>
      </c>
      <c r="K344" s="5"/>
      <c r="L344" s="115" t="str">
        <f>IF(I344&lt;=0,"OK","ERROR")</f>
        <v>OK</v>
      </c>
      <c r="N344" s="488"/>
      <c r="O344" s="460"/>
      <c r="P344" s="460"/>
      <c r="Q344" s="460"/>
      <c r="R344" s="460"/>
      <c r="S344" s="460"/>
      <c r="T344" s="460"/>
      <c r="U344" s="460"/>
    </row>
    <row r="345" spans="1:21" s="490" customFormat="1" ht="17.25" customHeight="1">
      <c r="A345" s="334" t="s">
        <v>1724</v>
      </c>
      <c r="B345" s="536" t="s">
        <v>1725</v>
      </c>
      <c r="C345" s="536"/>
      <c r="D345" s="536"/>
      <c r="E345" s="536"/>
      <c r="F345" s="536"/>
      <c r="G345" s="536"/>
      <c r="H345" s="181"/>
      <c r="I345" s="14"/>
      <c r="J345" s="280">
        <v>1516</v>
      </c>
      <c r="K345" s="5"/>
      <c r="L345" s="115" t="str">
        <f t="shared" ref="L345:L347" si="22">IF(I345&lt;=0,"OK","ERROR")</f>
        <v>OK</v>
      </c>
      <c r="N345" s="488"/>
      <c r="O345" s="460"/>
      <c r="P345" s="460"/>
      <c r="Q345" s="460"/>
      <c r="R345" s="460"/>
      <c r="S345" s="460"/>
      <c r="T345" s="460"/>
      <c r="U345" s="460"/>
    </row>
    <row r="346" spans="1:21" s="490" customFormat="1" ht="17.25" customHeight="1">
      <c r="A346" s="334" t="s">
        <v>1726</v>
      </c>
      <c r="B346" s="536" t="s">
        <v>1727</v>
      </c>
      <c r="C346" s="536"/>
      <c r="D346" s="536"/>
      <c r="E346" s="536"/>
      <c r="F346" s="536"/>
      <c r="G346" s="536"/>
      <c r="H346" s="181"/>
      <c r="I346" s="14"/>
      <c r="J346" s="280">
        <v>1517</v>
      </c>
      <c r="K346" s="5"/>
      <c r="L346" s="115" t="str">
        <f t="shared" si="22"/>
        <v>OK</v>
      </c>
      <c r="N346" s="488"/>
      <c r="O346" s="460"/>
      <c r="P346" s="460"/>
      <c r="Q346" s="460"/>
      <c r="R346" s="460"/>
      <c r="S346" s="460"/>
      <c r="T346" s="460"/>
      <c r="U346" s="460"/>
    </row>
    <row r="347" spans="1:21" s="490" customFormat="1" ht="17.25" customHeight="1">
      <c r="A347" s="334" t="s">
        <v>1728</v>
      </c>
      <c r="B347" s="536" t="s">
        <v>1729</v>
      </c>
      <c r="C347" s="536"/>
      <c r="D347" s="536"/>
      <c r="E347" s="536"/>
      <c r="F347" s="536"/>
      <c r="G347" s="536"/>
      <c r="H347" s="181"/>
      <c r="I347" s="14"/>
      <c r="J347" s="280">
        <v>1518</v>
      </c>
      <c r="K347" s="5"/>
      <c r="L347" s="115" t="str">
        <f t="shared" si="22"/>
        <v>OK</v>
      </c>
      <c r="N347" s="488"/>
      <c r="O347" s="460"/>
      <c r="P347" s="460"/>
      <c r="Q347" s="460"/>
      <c r="R347" s="460"/>
      <c r="S347" s="460"/>
      <c r="T347" s="460"/>
      <c r="U347" s="460"/>
    </row>
    <row r="348" spans="1:21" s="490" customFormat="1" ht="30.75" customHeight="1" thickBot="1">
      <c r="A348" s="463" t="s">
        <v>1551</v>
      </c>
      <c r="B348" s="612" t="s">
        <v>1679</v>
      </c>
      <c r="C348" s="613"/>
      <c r="D348" s="613"/>
      <c r="E348" s="613"/>
      <c r="F348" s="613"/>
      <c r="G348" s="613"/>
      <c r="H348" s="208"/>
      <c r="I348" s="309">
        <f>SUM(I350:I359)</f>
        <v>0</v>
      </c>
      <c r="J348" s="280">
        <v>1421</v>
      </c>
      <c r="K348" s="6"/>
      <c r="N348" s="488"/>
      <c r="O348" s="460"/>
      <c r="P348" s="461"/>
      <c r="Q348" s="460"/>
      <c r="R348" s="460"/>
      <c r="S348" s="460"/>
      <c r="T348" s="460"/>
      <c r="U348" s="460"/>
    </row>
    <row r="349" spans="1:21" s="490" customFormat="1" ht="7.5" customHeight="1" thickTop="1">
      <c r="A349" s="463"/>
      <c r="B349" s="614"/>
      <c r="C349" s="614"/>
      <c r="D349" s="614"/>
      <c r="E349" s="614"/>
      <c r="F349" s="614"/>
      <c r="G349" s="614"/>
      <c r="H349" s="181"/>
      <c r="I349" s="335"/>
      <c r="J349" s="280"/>
      <c r="K349" s="6"/>
      <c r="N349" s="488"/>
      <c r="O349" s="460"/>
      <c r="P349" s="461"/>
      <c r="Q349" s="460"/>
      <c r="R349" s="460"/>
      <c r="S349" s="460"/>
      <c r="T349" s="460"/>
      <c r="U349" s="460"/>
    </row>
    <row r="350" spans="1:21" s="490" customFormat="1" ht="17.25" customHeight="1">
      <c r="A350" s="334" t="s">
        <v>1552</v>
      </c>
      <c r="B350" s="568" t="s">
        <v>1095</v>
      </c>
      <c r="C350" s="568"/>
      <c r="D350" s="568"/>
      <c r="E350" s="568"/>
      <c r="F350" s="568"/>
      <c r="G350" s="568"/>
      <c r="H350" s="208"/>
      <c r="I350" s="313"/>
      <c r="J350" s="280">
        <v>1422</v>
      </c>
      <c r="K350" s="6"/>
      <c r="L350" s="115" t="str">
        <f t="shared" si="21"/>
        <v>OK</v>
      </c>
      <c r="N350" s="488"/>
      <c r="O350" s="460"/>
      <c r="P350" s="461"/>
      <c r="Q350" s="460"/>
      <c r="R350" s="460"/>
      <c r="S350" s="460"/>
      <c r="T350" s="460"/>
      <c r="U350" s="460"/>
    </row>
    <row r="351" spans="1:21" s="490" customFormat="1" ht="17.25" customHeight="1">
      <c r="A351" s="334" t="s">
        <v>1553</v>
      </c>
      <c r="B351" s="603" t="s">
        <v>1096</v>
      </c>
      <c r="C351" s="603"/>
      <c r="D351" s="603"/>
      <c r="E351" s="603"/>
      <c r="F351" s="603"/>
      <c r="G351" s="603"/>
      <c r="H351" s="208"/>
      <c r="I351" s="313"/>
      <c r="J351" s="280">
        <v>1423</v>
      </c>
      <c r="K351" s="6"/>
      <c r="L351" s="115" t="str">
        <f t="shared" si="21"/>
        <v>OK</v>
      </c>
      <c r="N351" s="488"/>
      <c r="O351" s="460"/>
      <c r="P351" s="461"/>
      <c r="Q351" s="460"/>
      <c r="R351" s="460"/>
      <c r="S351" s="460"/>
      <c r="T351" s="460"/>
      <c r="U351" s="460"/>
    </row>
    <row r="352" spans="1:21" s="490" customFormat="1" ht="17.25" customHeight="1">
      <c r="A352" s="334" t="s">
        <v>1554</v>
      </c>
      <c r="B352" s="603" t="s">
        <v>1097</v>
      </c>
      <c r="C352" s="603"/>
      <c r="D352" s="603"/>
      <c r="E352" s="603"/>
      <c r="F352" s="603"/>
      <c r="G352" s="603"/>
      <c r="H352" s="208"/>
      <c r="I352" s="313"/>
      <c r="J352" s="280">
        <v>1424</v>
      </c>
      <c r="K352" s="6"/>
      <c r="L352" s="115" t="str">
        <f t="shared" si="21"/>
        <v>OK</v>
      </c>
      <c r="N352" s="488"/>
      <c r="O352" s="460"/>
      <c r="P352" s="461"/>
      <c r="Q352" s="460"/>
      <c r="R352" s="460"/>
      <c r="S352" s="460"/>
      <c r="T352" s="460"/>
      <c r="U352" s="460"/>
    </row>
    <row r="353" spans="1:21" s="490" customFormat="1" ht="17.25" customHeight="1">
      <c r="A353" s="334" t="s">
        <v>1555</v>
      </c>
      <c r="B353" s="603" t="s">
        <v>1098</v>
      </c>
      <c r="C353" s="603"/>
      <c r="D353" s="603"/>
      <c r="E353" s="603"/>
      <c r="F353" s="603"/>
      <c r="G353" s="603"/>
      <c r="H353" s="208"/>
      <c r="I353" s="313"/>
      <c r="J353" s="280">
        <v>1425</v>
      </c>
      <c r="K353" s="6"/>
      <c r="L353" s="115" t="str">
        <f t="shared" si="21"/>
        <v>OK</v>
      </c>
      <c r="N353" s="488"/>
      <c r="O353" s="460"/>
      <c r="P353" s="461"/>
      <c r="Q353" s="460"/>
      <c r="R353" s="460"/>
      <c r="S353" s="460"/>
      <c r="T353" s="460"/>
      <c r="U353" s="460"/>
    </row>
    <row r="354" spans="1:21" s="490" customFormat="1" ht="17.25" customHeight="1">
      <c r="A354" s="334" t="s">
        <v>1556</v>
      </c>
      <c r="B354" s="603" t="s">
        <v>1099</v>
      </c>
      <c r="C354" s="603"/>
      <c r="D354" s="603"/>
      <c r="E354" s="603"/>
      <c r="F354" s="603"/>
      <c r="G354" s="603"/>
      <c r="H354" s="208"/>
      <c r="I354" s="313"/>
      <c r="J354" s="280">
        <v>1426</v>
      </c>
      <c r="K354" s="6"/>
      <c r="L354" s="115" t="str">
        <f t="shared" si="21"/>
        <v>OK</v>
      </c>
      <c r="N354" s="488"/>
      <c r="O354" s="460"/>
      <c r="P354" s="461"/>
      <c r="Q354" s="460"/>
      <c r="R354" s="460"/>
      <c r="S354" s="460"/>
      <c r="T354" s="460"/>
      <c r="U354" s="460"/>
    </row>
    <row r="355" spans="1:21" s="490" customFormat="1" ht="17.25" customHeight="1">
      <c r="A355" s="334" t="s">
        <v>1557</v>
      </c>
      <c r="B355" s="603" t="s">
        <v>1100</v>
      </c>
      <c r="C355" s="603"/>
      <c r="D355" s="603"/>
      <c r="E355" s="603"/>
      <c r="F355" s="603"/>
      <c r="G355" s="603"/>
      <c r="H355" s="208"/>
      <c r="I355" s="313"/>
      <c r="J355" s="280">
        <v>1427</v>
      </c>
      <c r="K355" s="6"/>
      <c r="L355" s="115" t="str">
        <f t="shared" si="21"/>
        <v>OK</v>
      </c>
      <c r="N355" s="488"/>
      <c r="O355" s="460"/>
      <c r="P355" s="461"/>
      <c r="Q355" s="460"/>
      <c r="R355" s="460"/>
      <c r="S355" s="460"/>
      <c r="T355" s="460"/>
      <c r="U355" s="460"/>
    </row>
    <row r="356" spans="1:21" s="490" customFormat="1" ht="17.25" customHeight="1">
      <c r="A356" s="334" t="s">
        <v>1558</v>
      </c>
      <c r="B356" s="603" t="s">
        <v>1101</v>
      </c>
      <c r="C356" s="603"/>
      <c r="D356" s="603"/>
      <c r="E356" s="603"/>
      <c r="F356" s="603"/>
      <c r="G356" s="603"/>
      <c r="H356" s="208"/>
      <c r="I356" s="313"/>
      <c r="J356" s="280">
        <v>1428</v>
      </c>
      <c r="K356" s="6"/>
      <c r="L356" s="115" t="str">
        <f t="shared" si="21"/>
        <v>OK</v>
      </c>
      <c r="N356" s="488"/>
      <c r="O356" s="460"/>
      <c r="P356" s="461"/>
      <c r="Q356" s="460"/>
      <c r="R356" s="460"/>
      <c r="S356" s="460"/>
      <c r="T356" s="460"/>
      <c r="U356" s="460"/>
    </row>
    <row r="357" spans="1:21" s="490" customFormat="1" ht="17.25" customHeight="1">
      <c r="A357" s="334" t="s">
        <v>1559</v>
      </c>
      <c r="B357" s="603" t="s">
        <v>1102</v>
      </c>
      <c r="C357" s="603"/>
      <c r="D357" s="603"/>
      <c r="E357" s="603"/>
      <c r="F357" s="603"/>
      <c r="G357" s="603"/>
      <c r="H357" s="208"/>
      <c r="I357" s="313"/>
      <c r="J357" s="280">
        <v>1429</v>
      </c>
      <c r="K357" s="6"/>
      <c r="L357" s="115" t="str">
        <f t="shared" si="21"/>
        <v>OK</v>
      </c>
      <c r="N357" s="488"/>
      <c r="O357" s="460"/>
      <c r="P357" s="461"/>
      <c r="Q357" s="460"/>
      <c r="R357" s="460"/>
      <c r="S357" s="460"/>
      <c r="T357" s="460"/>
      <c r="U357" s="460"/>
    </row>
    <row r="358" spans="1:21" s="490" customFormat="1" ht="17.25" customHeight="1">
      <c r="A358" s="334" t="s">
        <v>1560</v>
      </c>
      <c r="B358" s="603" t="s">
        <v>1103</v>
      </c>
      <c r="C358" s="603"/>
      <c r="D358" s="603"/>
      <c r="E358" s="603"/>
      <c r="F358" s="603"/>
      <c r="G358" s="603"/>
      <c r="H358" s="208"/>
      <c r="I358" s="313"/>
      <c r="J358" s="280">
        <v>1430</v>
      </c>
      <c r="K358" s="6"/>
      <c r="L358" s="115" t="str">
        <f t="shared" si="21"/>
        <v>OK</v>
      </c>
      <c r="N358" s="488"/>
      <c r="O358" s="460"/>
      <c r="P358" s="461"/>
      <c r="Q358" s="460"/>
      <c r="R358" s="460"/>
      <c r="S358" s="460"/>
      <c r="T358" s="460"/>
      <c r="U358" s="460"/>
    </row>
    <row r="359" spans="1:21" s="490" customFormat="1" ht="17.25" customHeight="1">
      <c r="A359" s="334" t="s">
        <v>1561</v>
      </c>
      <c r="B359" s="603" t="s">
        <v>1104</v>
      </c>
      <c r="C359" s="603"/>
      <c r="D359" s="603"/>
      <c r="E359" s="603"/>
      <c r="F359" s="603"/>
      <c r="G359" s="603"/>
      <c r="H359" s="208"/>
      <c r="I359" s="313"/>
      <c r="J359" s="280">
        <v>1431</v>
      </c>
      <c r="K359" s="6"/>
      <c r="L359" s="115" t="str">
        <f t="shared" si="21"/>
        <v>OK</v>
      </c>
      <c r="N359" s="488"/>
      <c r="O359" s="460"/>
      <c r="P359" s="461"/>
      <c r="Q359" s="460"/>
      <c r="R359" s="460"/>
      <c r="S359" s="460"/>
      <c r="T359" s="460"/>
      <c r="U359" s="460"/>
    </row>
    <row r="360" spans="1:21" s="490" customFormat="1" ht="17.25" customHeight="1">
      <c r="A360" s="334" t="s">
        <v>1562</v>
      </c>
      <c r="B360" s="603" t="s">
        <v>1547</v>
      </c>
      <c r="C360" s="603"/>
      <c r="D360" s="603"/>
      <c r="E360" s="603"/>
      <c r="F360" s="603"/>
      <c r="G360" s="603"/>
      <c r="H360" s="208"/>
      <c r="I360" s="313"/>
      <c r="J360" s="280">
        <v>1432</v>
      </c>
      <c r="K360" s="6"/>
      <c r="L360" s="115" t="str">
        <f t="shared" si="21"/>
        <v>OK</v>
      </c>
      <c r="N360" s="488"/>
      <c r="O360" s="460"/>
      <c r="P360" s="461"/>
      <c r="Q360" s="460"/>
      <c r="R360" s="460"/>
      <c r="S360" s="460"/>
      <c r="T360" s="460"/>
      <c r="U360" s="460"/>
    </row>
    <row r="361" spans="1:21" s="490" customFormat="1" ht="17.25" customHeight="1" thickBot="1">
      <c r="A361" s="334" t="s">
        <v>1563</v>
      </c>
      <c r="B361" s="603" t="s">
        <v>1548</v>
      </c>
      <c r="C361" s="603"/>
      <c r="D361" s="603"/>
      <c r="E361" s="603"/>
      <c r="F361" s="603"/>
      <c r="G361" s="603"/>
      <c r="H361" s="208"/>
      <c r="I361" s="309">
        <f>SUM(I350:I359)</f>
        <v>0</v>
      </c>
      <c r="J361" s="280">
        <v>1433</v>
      </c>
      <c r="K361" s="6"/>
      <c r="L361" s="285"/>
      <c r="N361" s="488"/>
      <c r="O361" s="460"/>
      <c r="P361" s="461"/>
      <c r="Q361" s="460"/>
      <c r="R361" s="460"/>
      <c r="S361" s="460"/>
      <c r="T361" s="460"/>
      <c r="U361" s="460"/>
    </row>
    <row r="362" spans="1:21" ht="6" customHeight="1" thickTop="1">
      <c r="A362" s="424"/>
      <c r="B362" s="576"/>
      <c r="C362" s="576"/>
      <c r="D362" s="576"/>
      <c r="E362" s="576"/>
      <c r="F362" s="576"/>
      <c r="G362" s="576"/>
      <c r="H362" s="8"/>
      <c r="I362" s="167"/>
      <c r="J362" s="499"/>
      <c r="K362" s="6"/>
      <c r="L362" s="285"/>
    </row>
    <row r="363" spans="1:21" ht="6" customHeight="1">
      <c r="A363" s="260"/>
      <c r="B363" s="527"/>
      <c r="C363" s="527"/>
      <c r="D363" s="527"/>
      <c r="E363" s="527"/>
      <c r="F363" s="527"/>
      <c r="G363" s="527"/>
      <c r="H363" s="134"/>
      <c r="I363" s="135"/>
      <c r="J363" s="494"/>
      <c r="K363" s="5"/>
      <c r="L363" s="285"/>
    </row>
    <row r="364" spans="1:21" ht="33" customHeight="1">
      <c r="A364" s="269" t="s">
        <v>574</v>
      </c>
      <c r="B364" s="611" t="s">
        <v>1326</v>
      </c>
      <c r="C364" s="538"/>
      <c r="D364" s="538"/>
      <c r="E364" s="538"/>
      <c r="F364" s="538"/>
      <c r="G364" s="538"/>
      <c r="H364" s="134"/>
      <c r="I364" s="258"/>
      <c r="J364" s="494"/>
      <c r="K364" s="5"/>
      <c r="L364" s="490"/>
    </row>
    <row r="365" spans="1:21" ht="17.25" customHeight="1" thickBot="1">
      <c r="A365" s="345" t="s">
        <v>575</v>
      </c>
      <c r="B365" s="579" t="s">
        <v>1327</v>
      </c>
      <c r="C365" s="579"/>
      <c r="D365" s="579"/>
      <c r="E365" s="579"/>
      <c r="F365" s="579"/>
      <c r="G365" s="579"/>
      <c r="H365" s="134"/>
      <c r="I365" s="279">
        <f>I94</f>
        <v>0</v>
      </c>
      <c r="J365" s="494">
        <v>1040</v>
      </c>
      <c r="K365" s="5"/>
      <c r="L365" s="490"/>
      <c r="N365" s="490"/>
    </row>
    <row r="366" spans="1:21" ht="17.25" customHeight="1" thickTop="1" thickBot="1">
      <c r="A366" s="345" t="s">
        <v>576</v>
      </c>
      <c r="B366" s="583" t="s">
        <v>599</v>
      </c>
      <c r="C366" s="583"/>
      <c r="D366" s="583"/>
      <c r="E366" s="583"/>
      <c r="F366" s="583"/>
      <c r="G366" s="583"/>
      <c r="H366" s="134"/>
      <c r="I366" s="279">
        <f>I97</f>
        <v>0</v>
      </c>
      <c r="J366" s="280">
        <v>1041</v>
      </c>
      <c r="K366" s="5"/>
      <c r="L366" s="490"/>
      <c r="N366" s="490"/>
    </row>
    <row r="367" spans="1:21" ht="17.25" customHeight="1" thickTop="1">
      <c r="A367" s="336" t="s">
        <v>578</v>
      </c>
      <c r="B367" s="582" t="s">
        <v>773</v>
      </c>
      <c r="C367" s="582"/>
      <c r="D367" s="582"/>
      <c r="E367" s="582"/>
      <c r="F367" s="582"/>
      <c r="G367" s="582"/>
      <c r="H367" s="181"/>
      <c r="I367" s="186"/>
      <c r="J367" s="280">
        <v>1048</v>
      </c>
      <c r="K367" s="5"/>
      <c r="L367" s="115" t="str">
        <f>IF(I367&lt;=0,"OK","ERROR")</f>
        <v>OK</v>
      </c>
      <c r="N367" s="490"/>
    </row>
    <row r="368" spans="1:21" ht="33" customHeight="1" thickBot="1">
      <c r="A368" s="273" t="s">
        <v>577</v>
      </c>
      <c r="B368" s="601" t="s">
        <v>1110</v>
      </c>
      <c r="C368" s="601"/>
      <c r="D368" s="601"/>
      <c r="E368" s="601"/>
      <c r="F368" s="601"/>
      <c r="G368" s="601"/>
      <c r="H368" s="181"/>
      <c r="I368" s="309">
        <f>I366+I367</f>
        <v>0</v>
      </c>
      <c r="J368" s="280">
        <v>1042</v>
      </c>
      <c r="K368" s="337"/>
      <c r="L368" s="286" t="str">
        <f>IF(I368&gt;=0,"OK","ERROR")</f>
        <v>OK</v>
      </c>
      <c r="N368" s="488"/>
    </row>
    <row r="369" spans="1:16" ht="17.25" customHeight="1" thickTop="1" thickBot="1">
      <c r="A369" s="338" t="s">
        <v>630</v>
      </c>
      <c r="B369" s="582" t="s">
        <v>629</v>
      </c>
      <c r="C369" s="582"/>
      <c r="D369" s="582"/>
      <c r="E369" s="582"/>
      <c r="F369" s="582"/>
      <c r="G369" s="582"/>
      <c r="H369" s="181"/>
      <c r="I369" s="339">
        <f>I189</f>
        <v>0</v>
      </c>
      <c r="J369" s="280">
        <v>1043</v>
      </c>
      <c r="K369" s="5"/>
      <c r="L369" s="285"/>
      <c r="N369" s="488"/>
    </row>
    <row r="370" spans="1:16" ht="17.25" customHeight="1" thickTop="1" thickBot="1">
      <c r="A370" s="338" t="s">
        <v>590</v>
      </c>
      <c r="B370" s="582" t="s">
        <v>774</v>
      </c>
      <c r="C370" s="582"/>
      <c r="D370" s="582"/>
      <c r="E370" s="582"/>
      <c r="F370" s="582"/>
      <c r="G370" s="582"/>
      <c r="H370" s="181"/>
      <c r="I370" s="339">
        <f>I203</f>
        <v>0</v>
      </c>
      <c r="J370" s="280">
        <v>1044</v>
      </c>
      <c r="K370" s="5"/>
      <c r="L370" s="285"/>
      <c r="N370" s="488"/>
    </row>
    <row r="371" spans="1:16" ht="17.25" customHeight="1" thickTop="1" thickBot="1">
      <c r="A371" s="338" t="s">
        <v>775</v>
      </c>
      <c r="B371" s="582" t="s">
        <v>782</v>
      </c>
      <c r="C371" s="582"/>
      <c r="D371" s="582"/>
      <c r="E371" s="582"/>
      <c r="F371" s="582"/>
      <c r="G371" s="582"/>
      <c r="H371" s="181"/>
      <c r="I371" s="339">
        <f>SUM(I372:I374)</f>
        <v>0</v>
      </c>
      <c r="J371" s="280">
        <v>1325</v>
      </c>
      <c r="K371" s="5"/>
      <c r="L371" s="115" t="str">
        <f>IF(I371&lt;=0,"OK","ERROR")</f>
        <v>OK</v>
      </c>
      <c r="N371" s="488"/>
    </row>
    <row r="372" spans="1:16" ht="17.25" customHeight="1" thickTop="1">
      <c r="A372" s="338" t="s">
        <v>776</v>
      </c>
      <c r="B372" s="603" t="s">
        <v>1643</v>
      </c>
      <c r="C372" s="603"/>
      <c r="D372" s="603"/>
      <c r="E372" s="603"/>
      <c r="F372" s="603"/>
      <c r="G372" s="603"/>
      <c r="H372" s="181"/>
      <c r="I372" s="186"/>
      <c r="J372" s="280">
        <v>1326</v>
      </c>
      <c r="K372" s="5"/>
      <c r="L372" s="286" t="str">
        <f>IF(I372&lt;=0,"OK","ERROR")</f>
        <v>OK</v>
      </c>
      <c r="N372" s="488"/>
    </row>
    <row r="373" spans="1:16" ht="17.25" customHeight="1">
      <c r="A373" s="338" t="s">
        <v>777</v>
      </c>
      <c r="B373" s="603" t="s">
        <v>1644</v>
      </c>
      <c r="C373" s="603"/>
      <c r="D373" s="603"/>
      <c r="E373" s="603"/>
      <c r="F373" s="603"/>
      <c r="G373" s="603"/>
      <c r="H373" s="181"/>
      <c r="I373" s="186"/>
      <c r="J373" s="280">
        <v>1327</v>
      </c>
      <c r="K373" s="5"/>
      <c r="L373" s="286" t="str">
        <f>IF(I373&lt;=0,"OK","ERROR")</f>
        <v>OK</v>
      </c>
      <c r="N373" s="488"/>
    </row>
    <row r="374" spans="1:16" ht="17.25" customHeight="1" thickBot="1">
      <c r="A374" s="338" t="s">
        <v>778</v>
      </c>
      <c r="B374" s="603" t="s">
        <v>1645</v>
      </c>
      <c r="C374" s="603"/>
      <c r="D374" s="603"/>
      <c r="E374" s="603"/>
      <c r="F374" s="603"/>
      <c r="G374" s="603"/>
      <c r="H374" s="181"/>
      <c r="I374" s="339">
        <f>-I206</f>
        <v>0</v>
      </c>
      <c r="J374" s="280">
        <v>1434</v>
      </c>
      <c r="K374" s="5"/>
      <c r="L374" s="115" t="str">
        <f>IF(I374&lt;=0,"OK","ERROR")</f>
        <v>OK</v>
      </c>
      <c r="N374" s="488"/>
      <c r="P374" s="461"/>
    </row>
    <row r="375" spans="1:16" ht="33" customHeight="1" thickTop="1" thickBot="1">
      <c r="A375" s="422" t="s">
        <v>779</v>
      </c>
      <c r="B375" s="609" t="s">
        <v>1111</v>
      </c>
      <c r="C375" s="609"/>
      <c r="D375" s="609"/>
      <c r="E375" s="609"/>
      <c r="F375" s="609"/>
      <c r="G375" s="609"/>
      <c r="H375" s="181"/>
      <c r="I375" s="339">
        <f>I370+I371</f>
        <v>0</v>
      </c>
      <c r="J375" s="280">
        <v>1330</v>
      </c>
      <c r="K375" s="5"/>
      <c r="L375" s="285"/>
      <c r="N375" s="488"/>
    </row>
    <row r="376" spans="1:16" ht="17.25" customHeight="1" thickTop="1" thickBot="1">
      <c r="A376" s="338" t="s">
        <v>780</v>
      </c>
      <c r="B376" s="603" t="s">
        <v>1112</v>
      </c>
      <c r="C376" s="603"/>
      <c r="D376" s="603"/>
      <c r="E376" s="603"/>
      <c r="F376" s="603"/>
      <c r="G376" s="603"/>
      <c r="H376" s="181"/>
      <c r="I376" s="279">
        <f>I204+I372</f>
        <v>0</v>
      </c>
      <c r="J376" s="280">
        <v>1331</v>
      </c>
      <c r="K376" s="5"/>
      <c r="L376" s="285"/>
      <c r="N376" s="488"/>
    </row>
    <row r="377" spans="1:16" ht="17.25" customHeight="1" thickTop="1" thickBot="1">
      <c r="A377" s="338" t="s">
        <v>781</v>
      </c>
      <c r="B377" s="603" t="s">
        <v>1113</v>
      </c>
      <c r="C377" s="603"/>
      <c r="D377" s="603"/>
      <c r="E377" s="603"/>
      <c r="F377" s="603"/>
      <c r="G377" s="603"/>
      <c r="H377" s="181"/>
      <c r="I377" s="279">
        <f>I205+I373</f>
        <v>0</v>
      </c>
      <c r="J377" s="280">
        <v>1332</v>
      </c>
      <c r="K377" s="5"/>
      <c r="L377" s="285"/>
      <c r="N377" s="488"/>
    </row>
    <row r="378" spans="1:16" ht="33" customHeight="1" thickTop="1">
      <c r="A378" s="422" t="s">
        <v>1564</v>
      </c>
      <c r="B378" s="610" t="s">
        <v>1565</v>
      </c>
      <c r="C378" s="610"/>
      <c r="D378" s="610"/>
      <c r="E378" s="610"/>
      <c r="F378" s="610"/>
      <c r="G378" s="610"/>
      <c r="H378" s="181"/>
      <c r="I378" s="282"/>
      <c r="J378" s="280"/>
      <c r="K378" s="5"/>
      <c r="L378" s="285"/>
      <c r="N378" s="488"/>
      <c r="P378" s="461"/>
    </row>
    <row r="379" spans="1:16" ht="17.25" customHeight="1" thickBot="1">
      <c r="A379" s="338" t="s">
        <v>1566</v>
      </c>
      <c r="B379" s="568" t="s">
        <v>1567</v>
      </c>
      <c r="C379" s="568"/>
      <c r="D379" s="568"/>
      <c r="E379" s="568"/>
      <c r="F379" s="568"/>
      <c r="G379" s="568"/>
      <c r="H379" s="181"/>
      <c r="I379" s="309">
        <f>I211</f>
        <v>0</v>
      </c>
      <c r="J379" s="280">
        <v>1435</v>
      </c>
      <c r="K379" s="5"/>
      <c r="L379" s="285"/>
      <c r="N379" s="488"/>
      <c r="P379" s="461"/>
    </row>
    <row r="380" spans="1:16" ht="17.25" customHeight="1" thickTop="1" thickBot="1">
      <c r="A380" s="338" t="s">
        <v>1568</v>
      </c>
      <c r="B380" s="603" t="s">
        <v>1569</v>
      </c>
      <c r="C380" s="603"/>
      <c r="D380" s="603"/>
      <c r="E380" s="603"/>
      <c r="F380" s="603"/>
      <c r="G380" s="603"/>
      <c r="H380" s="181"/>
      <c r="I380" s="309">
        <f>I212</f>
        <v>0</v>
      </c>
      <c r="J380" s="280">
        <v>1436</v>
      </c>
      <c r="K380" s="5"/>
      <c r="L380" s="285"/>
      <c r="N380" s="488"/>
      <c r="P380" s="461"/>
    </row>
    <row r="381" spans="1:16" ht="28.5" customHeight="1" thickTop="1" thickBot="1">
      <c r="A381" s="422" t="s">
        <v>1570</v>
      </c>
      <c r="B381" s="604" t="s">
        <v>1571</v>
      </c>
      <c r="C381" s="604"/>
      <c r="D381" s="604"/>
      <c r="E381" s="604"/>
      <c r="F381" s="604"/>
      <c r="G381" s="604"/>
      <c r="H381" s="181"/>
      <c r="I381" s="339">
        <f>SUM(I379:I380)</f>
        <v>0</v>
      </c>
      <c r="J381" s="280">
        <v>1437</v>
      </c>
      <c r="K381" s="5"/>
      <c r="L381" s="285"/>
      <c r="N381" s="488"/>
      <c r="P381" s="461"/>
    </row>
    <row r="382" spans="1:16" ht="33" customHeight="1" thickTop="1" thickBot="1">
      <c r="A382" s="340" t="s">
        <v>1114</v>
      </c>
      <c r="B382" s="601" t="s">
        <v>1572</v>
      </c>
      <c r="C382" s="601"/>
      <c r="D382" s="601"/>
      <c r="E382" s="601"/>
      <c r="F382" s="601"/>
      <c r="G382" s="601"/>
      <c r="H382" s="134"/>
      <c r="I382" s="279">
        <f>I368+I375</f>
        <v>0</v>
      </c>
      <c r="J382" s="280">
        <v>1049</v>
      </c>
      <c r="K382" s="5"/>
    </row>
    <row r="383" spans="1:16" ht="33" customHeight="1" thickTop="1">
      <c r="A383" s="269" t="s">
        <v>1328</v>
      </c>
      <c r="B383" s="605" t="s">
        <v>1329</v>
      </c>
      <c r="C383" s="606"/>
      <c r="D383" s="606"/>
      <c r="E383" s="606"/>
      <c r="F383" s="606"/>
      <c r="G383" s="606"/>
      <c r="H383" s="181"/>
      <c r="I383" s="258"/>
      <c r="J383" s="280"/>
      <c r="K383" s="5"/>
      <c r="L383" s="490"/>
      <c r="N383" s="488"/>
    </row>
    <row r="384" spans="1:16" ht="22.5" customHeight="1">
      <c r="A384" s="330" t="s">
        <v>579</v>
      </c>
      <c r="B384" s="607" t="s">
        <v>1330</v>
      </c>
      <c r="C384" s="607"/>
      <c r="D384" s="607"/>
      <c r="E384" s="607"/>
      <c r="F384" s="607"/>
      <c r="G384" s="607"/>
      <c r="H384" s="181"/>
      <c r="I384" s="186"/>
      <c r="J384" s="280">
        <v>1055</v>
      </c>
      <c r="K384" s="5"/>
      <c r="L384" s="115" t="str">
        <f>IF(I384&lt;=0,"OK","ERROR")</f>
        <v>OK</v>
      </c>
      <c r="N384" s="488"/>
    </row>
    <row r="385" spans="1:16" ht="26.25" customHeight="1" thickBot="1">
      <c r="A385" s="423" t="s">
        <v>783</v>
      </c>
      <c r="B385" s="608" t="s">
        <v>784</v>
      </c>
      <c r="C385" s="608"/>
      <c r="D385" s="608"/>
      <c r="E385" s="608"/>
      <c r="F385" s="608"/>
      <c r="G385" s="608"/>
      <c r="H385" s="181"/>
      <c r="I385" s="309">
        <f>I368+I384</f>
        <v>0</v>
      </c>
      <c r="J385" s="280">
        <v>1335</v>
      </c>
      <c r="K385" s="5"/>
      <c r="L385" s="490"/>
      <c r="N385" s="488"/>
    </row>
    <row r="386" spans="1:16" ht="33" customHeight="1" thickTop="1" thickBot="1">
      <c r="A386" s="273" t="s">
        <v>1331</v>
      </c>
      <c r="B386" s="601" t="s">
        <v>1573</v>
      </c>
      <c r="C386" s="601"/>
      <c r="D386" s="601"/>
      <c r="E386" s="601"/>
      <c r="F386" s="601"/>
      <c r="G386" s="601"/>
      <c r="H386" s="134"/>
      <c r="I386" s="299">
        <f>I385+I375</f>
        <v>0</v>
      </c>
      <c r="J386" s="494">
        <v>1056</v>
      </c>
      <c r="K386" s="5"/>
      <c r="L386" s="490"/>
    </row>
    <row r="387" spans="1:16" ht="6" customHeight="1" thickTop="1">
      <c r="A387" s="424"/>
      <c r="B387" s="526"/>
      <c r="C387" s="526"/>
      <c r="D387" s="526"/>
      <c r="E387" s="526"/>
      <c r="F387" s="526"/>
      <c r="G387" s="526"/>
      <c r="H387" s="8"/>
      <c r="I387" s="277"/>
      <c r="J387" s="496"/>
      <c r="K387" s="6"/>
      <c r="L387" s="285"/>
    </row>
    <row r="388" spans="1:16" ht="6" customHeight="1">
      <c r="A388" s="260"/>
      <c r="B388" s="527"/>
      <c r="C388" s="527"/>
      <c r="D388" s="527"/>
      <c r="E388" s="527"/>
      <c r="F388" s="527"/>
      <c r="G388" s="527"/>
      <c r="H388" s="134"/>
      <c r="I388" s="135"/>
      <c r="J388" s="494"/>
      <c r="K388" s="5"/>
      <c r="L388" s="285"/>
    </row>
    <row r="389" spans="1:16" ht="33.950000000000003" customHeight="1" thickBot="1">
      <c r="A389" s="442" t="s">
        <v>392</v>
      </c>
      <c r="B389" s="602" t="s">
        <v>422</v>
      </c>
      <c r="C389" s="602"/>
      <c r="D389" s="602"/>
      <c r="E389" s="602"/>
      <c r="F389" s="602"/>
      <c r="G389" s="602"/>
      <c r="H389" s="134"/>
      <c r="I389" s="309">
        <f>I391+I460+I463+I483+I487+I491+I488+I489+I490+I495+I390</f>
        <v>0</v>
      </c>
      <c r="J389" s="280">
        <v>93</v>
      </c>
      <c r="K389" s="5"/>
      <c r="L389" s="286" t="str">
        <f>IF(I389&gt;0,"OK","ERROR")</f>
        <v>ERROR</v>
      </c>
    </row>
    <row r="390" spans="1:16" ht="17.100000000000001" customHeight="1" thickTop="1">
      <c r="A390" s="322" t="s">
        <v>1574</v>
      </c>
      <c r="B390" s="579" t="s">
        <v>1575</v>
      </c>
      <c r="C390" s="579"/>
      <c r="D390" s="579"/>
      <c r="E390" s="579"/>
      <c r="F390" s="579"/>
      <c r="G390" s="579"/>
      <c r="H390" s="181"/>
      <c r="I390" s="186"/>
      <c r="J390" s="280">
        <v>1438</v>
      </c>
      <c r="K390" s="5"/>
      <c r="L390" s="115" t="str">
        <f>IF(OR(AND(I513="B",I390&lt;=0),AND(I513&lt;&gt;"B",I390=0)),"OK","ERROR")</f>
        <v>OK</v>
      </c>
      <c r="N390" s="314"/>
      <c r="P390" s="461"/>
    </row>
    <row r="391" spans="1:16" ht="44.25" customHeight="1" thickBot="1">
      <c r="A391" s="269" t="s">
        <v>424</v>
      </c>
      <c r="B391" s="518" t="s">
        <v>423</v>
      </c>
      <c r="C391" s="518"/>
      <c r="D391" s="518"/>
      <c r="E391" s="518"/>
      <c r="F391" s="518"/>
      <c r="G391" s="518"/>
      <c r="H391" s="134"/>
      <c r="I391" s="279">
        <f>I392+I413+I440+I445+I448+I449+I453+I454+I455</f>
        <v>0</v>
      </c>
      <c r="J391" s="280">
        <v>94</v>
      </c>
      <c r="K391" s="5"/>
      <c r="L391" s="286" t="str">
        <f>IF(I391&gt;0,"OK","ERROR")</f>
        <v>ERROR</v>
      </c>
    </row>
    <row r="392" spans="1:16" ht="17.25" customHeight="1" thickTop="1" thickBot="1">
      <c r="A392" s="443" t="s">
        <v>425</v>
      </c>
      <c r="B392" s="579" t="s">
        <v>458</v>
      </c>
      <c r="C392" s="593"/>
      <c r="D392" s="593"/>
      <c r="E392" s="593"/>
      <c r="F392" s="593"/>
      <c r="G392" s="593"/>
      <c r="H392" s="134"/>
      <c r="I392" s="309">
        <f>I393</f>
        <v>0</v>
      </c>
      <c r="J392" s="494">
        <v>95</v>
      </c>
      <c r="K392" s="5"/>
      <c r="L392" s="115" t="str">
        <f t="shared" ref="L392:L393" si="23">IF(I392&gt;=0,"OK","ERROR")</f>
        <v>OK</v>
      </c>
    </row>
    <row r="393" spans="1:16" ht="17.25" customHeight="1" thickTop="1" thickBot="1">
      <c r="A393" s="345" t="s">
        <v>68</v>
      </c>
      <c r="B393" s="583" t="s">
        <v>451</v>
      </c>
      <c r="C393" s="594"/>
      <c r="D393" s="594"/>
      <c r="E393" s="594"/>
      <c r="F393" s="594"/>
      <c r="G393" s="594"/>
      <c r="H393" s="134"/>
      <c r="I393" s="279">
        <f>I399+I400+I403+I404+I405+I406+I407</f>
        <v>0</v>
      </c>
      <c r="J393" s="494">
        <v>96</v>
      </c>
      <c r="K393" s="5"/>
      <c r="L393" s="286" t="str">
        <f t="shared" si="23"/>
        <v>OK</v>
      </c>
    </row>
    <row r="394" spans="1:16" ht="17.25" customHeight="1" thickTop="1">
      <c r="A394" s="345"/>
      <c r="B394" s="598" t="s">
        <v>1576</v>
      </c>
      <c r="C394" s="598"/>
      <c r="D394" s="598"/>
      <c r="E394" s="598"/>
      <c r="F394" s="598"/>
      <c r="G394" s="598"/>
      <c r="H394" s="134"/>
      <c r="I394" s="258"/>
      <c r="J394" s="494"/>
      <c r="K394" s="5"/>
    </row>
    <row r="395" spans="1:16" ht="17.25" customHeight="1" thickBot="1">
      <c r="A395" s="345" t="s">
        <v>69</v>
      </c>
      <c r="B395" s="599" t="s">
        <v>1234</v>
      </c>
      <c r="C395" s="600"/>
      <c r="D395" s="600"/>
      <c r="E395" s="600"/>
      <c r="F395" s="600"/>
      <c r="G395" s="600"/>
      <c r="H395" s="134"/>
      <c r="I395" s="279">
        <f>SUM('CSIB_CRSABIS_01.MELD:CSIB_CRSABIS_07.MELD'!U23)</f>
        <v>0</v>
      </c>
      <c r="J395" s="494">
        <v>97</v>
      </c>
      <c r="K395" s="5"/>
      <c r="L395" s="286" t="str">
        <f>IF(AND(I395&gt;=0,I395&lt;=$I$393),"OK","ERROR")</f>
        <v>OK</v>
      </c>
      <c r="N395" s="287" t="s">
        <v>1150</v>
      </c>
    </row>
    <row r="396" spans="1:16" ht="17.25" customHeight="1" thickTop="1" thickBot="1">
      <c r="A396" s="345" t="s">
        <v>70</v>
      </c>
      <c r="B396" s="600" t="s">
        <v>1235</v>
      </c>
      <c r="C396" s="600"/>
      <c r="D396" s="600"/>
      <c r="E396" s="600"/>
      <c r="F396" s="600"/>
      <c r="G396" s="600"/>
      <c r="H396" s="134"/>
      <c r="I396" s="279">
        <f>SUM('CSIB_CRSABIS_01.MELD:CSIB_CRSABIS_07.MELD'!U27)</f>
        <v>0</v>
      </c>
      <c r="J396" s="494">
        <v>99</v>
      </c>
      <c r="K396" s="5"/>
      <c r="L396" s="286" t="str">
        <f>IF(AND(I396&gt;=0,I396&lt;=$I$393),"OK","ERROR")</f>
        <v>OK</v>
      </c>
      <c r="N396" s="287" t="s">
        <v>1151</v>
      </c>
    </row>
    <row r="397" spans="1:16" ht="17.25" customHeight="1" thickTop="1" thickBot="1">
      <c r="A397" s="345" t="s">
        <v>454</v>
      </c>
      <c r="B397" s="600" t="s">
        <v>1236</v>
      </c>
      <c r="C397" s="600"/>
      <c r="D397" s="600"/>
      <c r="E397" s="600"/>
      <c r="F397" s="600"/>
      <c r="G397" s="600"/>
      <c r="H397" s="134"/>
      <c r="I397" s="279">
        <f>SUM('CSIB_CRSABIS_01.MELD:CSIB_CRSABIS_07.MELD'!U30)</f>
        <v>0</v>
      </c>
      <c r="J397" s="494">
        <v>100</v>
      </c>
      <c r="K397" s="5"/>
      <c r="L397" s="286" t="str">
        <f>IF(AND(I397&gt;=0,I397&lt;=$I$393),"OK","ERROR")</f>
        <v>OK</v>
      </c>
      <c r="N397" s="287" t="s">
        <v>1152</v>
      </c>
    </row>
    <row r="398" spans="1:16" ht="17.25" customHeight="1" thickTop="1" thickBot="1">
      <c r="A398" s="345" t="s">
        <v>71</v>
      </c>
      <c r="B398" s="529" t="s">
        <v>1577</v>
      </c>
      <c r="C398" s="529"/>
      <c r="D398" s="529"/>
      <c r="E398" s="529"/>
      <c r="F398" s="529"/>
      <c r="G398" s="529"/>
      <c r="H398" s="134"/>
      <c r="I398" s="279">
        <f>SUM('CSIB_CRSABIS_01.MELD:CSIB_CRSABIS_07.MELD'!U31,'CSIB_CRSABIS_01.MELD:CSIB_CRSABIS_07.MELD'!U33)</f>
        <v>0</v>
      </c>
      <c r="J398" s="494">
        <v>101</v>
      </c>
      <c r="K398" s="5"/>
      <c r="L398" s="286" t="str">
        <f>IF(AND(I398&gt;=0,I398&lt;=$I$393),"OK","ERROR")</f>
        <v>OK</v>
      </c>
      <c r="N398" s="287" t="s">
        <v>1153</v>
      </c>
    </row>
    <row r="399" spans="1:16" ht="28.5" customHeight="1" thickTop="1" thickBot="1">
      <c r="A399" s="443" t="s">
        <v>393</v>
      </c>
      <c r="B399" s="579" t="s">
        <v>1578</v>
      </c>
      <c r="C399" s="593"/>
      <c r="D399" s="593"/>
      <c r="E399" s="593"/>
      <c r="F399" s="593"/>
      <c r="G399" s="593"/>
      <c r="H399" s="134"/>
      <c r="I399" s="279">
        <f>'CSIB_CRSABIS_01.MELD'!U14</f>
        <v>0</v>
      </c>
      <c r="J399" s="494">
        <v>102</v>
      </c>
      <c r="K399" s="5"/>
      <c r="L399" s="286" t="str">
        <f t="shared" ref="L399:L411" si="24">IF(I399&gt;=0,"OK","ERROR")</f>
        <v>OK</v>
      </c>
      <c r="N399" s="287" t="s">
        <v>1154</v>
      </c>
    </row>
    <row r="400" spans="1:16" ht="17.25" customHeight="1" thickTop="1" thickBot="1">
      <c r="A400" s="345" t="s">
        <v>72</v>
      </c>
      <c r="B400" s="593" t="s">
        <v>328</v>
      </c>
      <c r="C400" s="593"/>
      <c r="D400" s="593"/>
      <c r="E400" s="593"/>
      <c r="F400" s="593"/>
      <c r="G400" s="593"/>
      <c r="H400" s="134"/>
      <c r="I400" s="279">
        <f>SUM(I401:I402)</f>
        <v>0</v>
      </c>
      <c r="J400" s="494">
        <v>104</v>
      </c>
      <c r="K400" s="5"/>
      <c r="L400" s="286" t="str">
        <f t="shared" si="24"/>
        <v>OK</v>
      </c>
    </row>
    <row r="401" spans="1:21" ht="28.5" customHeight="1" thickTop="1" thickBot="1">
      <c r="A401" s="443" t="s">
        <v>394</v>
      </c>
      <c r="B401" s="579" t="s">
        <v>1579</v>
      </c>
      <c r="C401" s="593"/>
      <c r="D401" s="593"/>
      <c r="E401" s="593"/>
      <c r="F401" s="593"/>
      <c r="G401" s="593"/>
      <c r="H401" s="134"/>
      <c r="I401" s="279">
        <f>'CSIB_CRSABIS_02.MELD'!U14</f>
        <v>0</v>
      </c>
      <c r="J401" s="494">
        <v>105</v>
      </c>
      <c r="K401" s="5"/>
      <c r="L401" s="286" t="str">
        <f t="shared" si="24"/>
        <v>OK</v>
      </c>
      <c r="N401" s="287" t="s">
        <v>1155</v>
      </c>
    </row>
    <row r="402" spans="1:21" ht="28.5" customHeight="1" thickTop="1" thickBot="1">
      <c r="A402" s="419" t="s">
        <v>395</v>
      </c>
      <c r="B402" s="579" t="s">
        <v>1580</v>
      </c>
      <c r="C402" s="579"/>
      <c r="D402" s="579"/>
      <c r="E402" s="579"/>
      <c r="F402" s="579"/>
      <c r="G402" s="579"/>
      <c r="H402" s="134"/>
      <c r="I402" s="279">
        <f>'CSIB_CRSABIS_03.MELD'!U14</f>
        <v>0</v>
      </c>
      <c r="J402" s="494">
        <v>107</v>
      </c>
      <c r="K402" s="5"/>
      <c r="L402" s="286" t="str">
        <f t="shared" si="24"/>
        <v>OK</v>
      </c>
      <c r="N402" s="287" t="s">
        <v>1156</v>
      </c>
    </row>
    <row r="403" spans="1:21" ht="28.5" customHeight="1" thickTop="1" thickBot="1">
      <c r="A403" s="419" t="s">
        <v>396</v>
      </c>
      <c r="B403" s="588" t="s">
        <v>1581</v>
      </c>
      <c r="C403" s="515"/>
      <c r="D403" s="515"/>
      <c r="E403" s="515"/>
      <c r="F403" s="515"/>
      <c r="G403" s="515"/>
      <c r="H403" s="134"/>
      <c r="I403" s="279">
        <f>'CSIB_CRSABIS_04.MELD'!U14</f>
        <v>0</v>
      </c>
      <c r="J403" s="494">
        <v>109</v>
      </c>
      <c r="K403" s="5"/>
      <c r="L403" s="286" t="str">
        <f t="shared" si="24"/>
        <v>OK</v>
      </c>
      <c r="N403" s="287" t="s">
        <v>1157</v>
      </c>
    </row>
    <row r="404" spans="1:21" ht="28.5" customHeight="1" thickTop="1" thickBot="1">
      <c r="A404" s="419" t="s">
        <v>397</v>
      </c>
      <c r="B404" s="588" t="s">
        <v>1582</v>
      </c>
      <c r="C404" s="515"/>
      <c r="D404" s="515"/>
      <c r="E404" s="515"/>
      <c r="F404" s="515"/>
      <c r="G404" s="515"/>
      <c r="H404" s="134"/>
      <c r="I404" s="279">
        <f>'CSIB_CRSABIS_05.MELD'!U14</f>
        <v>0</v>
      </c>
      <c r="J404" s="494">
        <v>111</v>
      </c>
      <c r="K404" s="5"/>
      <c r="L404" s="286" t="str">
        <f t="shared" si="24"/>
        <v>OK</v>
      </c>
      <c r="N404" s="287" t="s">
        <v>1158</v>
      </c>
    </row>
    <row r="405" spans="1:21" ht="28.5" customHeight="1" thickTop="1" thickBot="1">
      <c r="A405" s="419" t="s">
        <v>398</v>
      </c>
      <c r="B405" s="588" t="s">
        <v>1583</v>
      </c>
      <c r="C405" s="515"/>
      <c r="D405" s="515"/>
      <c r="E405" s="515"/>
      <c r="F405" s="515"/>
      <c r="G405" s="515"/>
      <c r="H405" s="134"/>
      <c r="I405" s="279">
        <f>'CSIB_CRSABIS_06.MELD'!U14</f>
        <v>0</v>
      </c>
      <c r="J405" s="494">
        <v>113</v>
      </c>
      <c r="K405" s="5"/>
      <c r="L405" s="286" t="str">
        <f t="shared" si="24"/>
        <v>OK</v>
      </c>
      <c r="N405" s="287" t="s">
        <v>1159</v>
      </c>
    </row>
    <row r="406" spans="1:21" ht="28.5" customHeight="1" thickTop="1" thickBot="1">
      <c r="A406" s="419" t="s">
        <v>399</v>
      </c>
      <c r="B406" s="588" t="s">
        <v>1584</v>
      </c>
      <c r="C406" s="515"/>
      <c r="D406" s="515"/>
      <c r="E406" s="515"/>
      <c r="F406" s="515"/>
      <c r="G406" s="515"/>
      <c r="H406" s="134"/>
      <c r="I406" s="279">
        <f>'CSIB_CRSABIS_07.MELD'!U14</f>
        <v>0</v>
      </c>
      <c r="J406" s="280">
        <v>115</v>
      </c>
      <c r="K406" s="5"/>
      <c r="L406" s="286" t="str">
        <f t="shared" si="24"/>
        <v>OK</v>
      </c>
      <c r="N406" s="287" t="s">
        <v>1160</v>
      </c>
    </row>
    <row r="407" spans="1:21" ht="27" customHeight="1" thickTop="1" thickBot="1">
      <c r="A407" s="420" t="s">
        <v>785</v>
      </c>
      <c r="B407" s="575" t="s">
        <v>1585</v>
      </c>
      <c r="C407" s="596"/>
      <c r="D407" s="596"/>
      <c r="E407" s="596"/>
      <c r="F407" s="596"/>
      <c r="G407" s="596"/>
      <c r="H407" s="341"/>
      <c r="I407" s="342">
        <f>SUM(I408:I411)</f>
        <v>0</v>
      </c>
      <c r="J407" s="343">
        <v>585</v>
      </c>
      <c r="K407" s="5"/>
      <c r="L407" s="490"/>
      <c r="N407" s="228"/>
    </row>
    <row r="408" spans="1:21" ht="17.25" customHeight="1" thickTop="1" thickBot="1">
      <c r="A408" s="420" t="s">
        <v>1115</v>
      </c>
      <c r="B408" s="575" t="s">
        <v>1646</v>
      </c>
      <c r="C408" s="596"/>
      <c r="D408" s="596"/>
      <c r="E408" s="596"/>
      <c r="F408" s="596"/>
      <c r="G408" s="596"/>
      <c r="H408" s="341"/>
      <c r="I408" s="279">
        <f>'CSIB_CRFUNDS.MELD'!K11</f>
        <v>0</v>
      </c>
      <c r="J408" s="343">
        <v>586</v>
      </c>
      <c r="K408" s="5"/>
      <c r="L408" s="115" t="str">
        <f t="shared" si="24"/>
        <v>OK</v>
      </c>
      <c r="N408" s="287" t="s">
        <v>1789</v>
      </c>
    </row>
    <row r="409" spans="1:21" ht="17.25" customHeight="1" thickTop="1" thickBot="1">
      <c r="A409" s="420" t="s">
        <v>1116</v>
      </c>
      <c r="B409" s="575" t="s">
        <v>1647</v>
      </c>
      <c r="C409" s="596"/>
      <c r="D409" s="596"/>
      <c r="E409" s="596"/>
      <c r="F409" s="596"/>
      <c r="G409" s="596"/>
      <c r="H409" s="341"/>
      <c r="I409" s="279">
        <f>'CSIB_CRFUNDS.MELD'!K14</f>
        <v>0</v>
      </c>
      <c r="J409" s="343">
        <v>587</v>
      </c>
      <c r="K409" s="5"/>
      <c r="L409" s="115" t="str">
        <f t="shared" si="24"/>
        <v>OK</v>
      </c>
      <c r="N409" s="287" t="s">
        <v>1790</v>
      </c>
    </row>
    <row r="410" spans="1:21" ht="17.25" customHeight="1" thickTop="1" thickBot="1">
      <c r="A410" s="420" t="s">
        <v>1117</v>
      </c>
      <c r="B410" s="575" t="s">
        <v>1648</v>
      </c>
      <c r="C410" s="596"/>
      <c r="D410" s="596"/>
      <c r="E410" s="596"/>
      <c r="F410" s="596"/>
      <c r="G410" s="596"/>
      <c r="H410" s="341"/>
      <c r="I410" s="279">
        <f>'CSIB_CRFUNDS.MELD'!K17</f>
        <v>0</v>
      </c>
      <c r="J410" s="343">
        <v>588</v>
      </c>
      <c r="K410" s="5"/>
      <c r="L410" s="115" t="str">
        <f t="shared" si="24"/>
        <v>OK</v>
      </c>
      <c r="N410" s="287" t="s">
        <v>1791</v>
      </c>
    </row>
    <row r="411" spans="1:21" ht="17.25" customHeight="1" thickTop="1" thickBot="1">
      <c r="A411" s="420" t="s">
        <v>1118</v>
      </c>
      <c r="B411" s="575" t="s">
        <v>1649</v>
      </c>
      <c r="C411" s="596"/>
      <c r="D411" s="596"/>
      <c r="E411" s="596"/>
      <c r="F411" s="596"/>
      <c r="G411" s="596"/>
      <c r="H411" s="341"/>
      <c r="I411" s="309">
        <f>'CSIB_CRFUNDS.MELD'!K20+'CSIB_CRFUNDS.MELD'!K22</f>
        <v>0</v>
      </c>
      <c r="J411" s="343">
        <v>589</v>
      </c>
      <c r="K411" s="5"/>
      <c r="L411" s="115" t="str">
        <f t="shared" si="24"/>
        <v>OK</v>
      </c>
      <c r="N411" s="444" t="s">
        <v>1792</v>
      </c>
    </row>
    <row r="412" spans="1:21" s="490" customFormat="1" ht="7.5" customHeight="1" thickTop="1">
      <c r="A412" s="228"/>
      <c r="B412" s="597"/>
      <c r="C412" s="597"/>
      <c r="D412" s="597"/>
      <c r="E412" s="597"/>
      <c r="F412" s="597"/>
      <c r="G412" s="597"/>
      <c r="I412" s="431"/>
      <c r="J412" s="280"/>
    </row>
    <row r="413" spans="1:21" s="490" customFormat="1" ht="28.5" customHeight="1" thickBot="1">
      <c r="A413" s="419" t="s">
        <v>427</v>
      </c>
      <c r="B413" s="591" t="s">
        <v>426</v>
      </c>
      <c r="C413" s="592"/>
      <c r="D413" s="592"/>
      <c r="E413" s="592"/>
      <c r="F413" s="592"/>
      <c r="G413" s="592"/>
      <c r="H413" s="134"/>
      <c r="I413" s="279">
        <f>I414+I423+I436</f>
        <v>0</v>
      </c>
      <c r="J413" s="280">
        <v>119</v>
      </c>
      <c r="K413" s="5"/>
      <c r="L413" s="286" t="str">
        <f t="shared" ref="L413:L442" si="25">IF(I413&gt;=0,"OK","ERROR")</f>
        <v>OK</v>
      </c>
      <c r="N413" s="460"/>
      <c r="O413" s="460"/>
      <c r="P413" s="460"/>
      <c r="Q413" s="460"/>
      <c r="R413" s="460"/>
      <c r="S413" s="460"/>
      <c r="T413" s="460"/>
      <c r="U413" s="460"/>
    </row>
    <row r="414" spans="1:21" s="490" customFormat="1" ht="17.25" customHeight="1" thickTop="1" thickBot="1">
      <c r="A414" s="419" t="s">
        <v>428</v>
      </c>
      <c r="B414" s="589" t="s">
        <v>429</v>
      </c>
      <c r="C414" s="510"/>
      <c r="D414" s="510"/>
      <c r="E414" s="510"/>
      <c r="F414" s="510"/>
      <c r="G414" s="510"/>
      <c r="H414" s="134"/>
      <c r="I414" s="279">
        <f>I415*1.06</f>
        <v>0</v>
      </c>
      <c r="J414" s="494">
        <v>122</v>
      </c>
      <c r="K414" s="5"/>
      <c r="O414" s="460"/>
      <c r="P414" s="460"/>
      <c r="Q414" s="460"/>
      <c r="R414" s="460"/>
      <c r="S414" s="460"/>
      <c r="T414" s="460"/>
      <c r="U414" s="460"/>
    </row>
    <row r="415" spans="1:21" s="490" customFormat="1" ht="28.5" customHeight="1" thickTop="1" thickBot="1">
      <c r="A415" s="419" t="s">
        <v>406</v>
      </c>
      <c r="B415" s="579" t="s">
        <v>430</v>
      </c>
      <c r="C415" s="579"/>
      <c r="D415" s="579"/>
      <c r="E415" s="579"/>
      <c r="F415" s="579"/>
      <c r="G415" s="579"/>
      <c r="H415" s="134"/>
      <c r="I415" s="279">
        <f>I416+I417+I420</f>
        <v>0</v>
      </c>
      <c r="J415" s="494">
        <v>123</v>
      </c>
      <c r="K415" s="5"/>
      <c r="L415" s="286" t="str">
        <f t="shared" si="25"/>
        <v>OK</v>
      </c>
      <c r="N415" s="460"/>
      <c r="O415" s="460"/>
      <c r="P415" s="460"/>
      <c r="Q415" s="460"/>
      <c r="R415" s="460"/>
      <c r="S415" s="460"/>
      <c r="T415" s="460"/>
      <c r="U415" s="460"/>
    </row>
    <row r="416" spans="1:21" s="490" customFormat="1" ht="17.25" customHeight="1" thickTop="1">
      <c r="A416" s="429" t="s">
        <v>255</v>
      </c>
      <c r="B416" s="510" t="s">
        <v>329</v>
      </c>
      <c r="C416" s="510"/>
      <c r="D416" s="510"/>
      <c r="E416" s="510"/>
      <c r="F416" s="510"/>
      <c r="G416" s="510"/>
      <c r="H416" s="134"/>
      <c r="I416" s="14"/>
      <c r="J416" s="494">
        <v>124</v>
      </c>
      <c r="K416" s="5"/>
      <c r="L416" s="286" t="str">
        <f t="shared" si="25"/>
        <v>OK</v>
      </c>
      <c r="N416" s="460"/>
      <c r="O416" s="460"/>
      <c r="P416" s="460"/>
      <c r="Q416" s="460"/>
      <c r="R416" s="460"/>
      <c r="S416" s="460"/>
      <c r="T416" s="460"/>
      <c r="U416" s="460"/>
    </row>
    <row r="417" spans="1:21" s="490" customFormat="1" ht="17.25" customHeight="1" thickBot="1">
      <c r="A417" s="429" t="s">
        <v>256</v>
      </c>
      <c r="B417" s="510" t="s">
        <v>330</v>
      </c>
      <c r="C417" s="510"/>
      <c r="D417" s="510"/>
      <c r="E417" s="510"/>
      <c r="F417" s="510"/>
      <c r="G417" s="510"/>
      <c r="H417" s="134"/>
      <c r="I417" s="279">
        <f>SUM(I418:I419)</f>
        <v>0</v>
      </c>
      <c r="J417" s="494">
        <v>125</v>
      </c>
      <c r="K417" s="5"/>
      <c r="L417" s="286" t="str">
        <f t="shared" si="25"/>
        <v>OK</v>
      </c>
      <c r="N417" s="460"/>
      <c r="O417" s="460"/>
      <c r="P417" s="460"/>
      <c r="Q417" s="460"/>
      <c r="R417" s="460"/>
      <c r="S417" s="460"/>
      <c r="T417" s="460"/>
      <c r="U417" s="460"/>
    </row>
    <row r="418" spans="1:21" s="490" customFormat="1" ht="17.25" customHeight="1" thickTop="1">
      <c r="A418" s="429" t="s">
        <v>257</v>
      </c>
      <c r="B418" s="594" t="s">
        <v>331</v>
      </c>
      <c r="C418" s="594"/>
      <c r="D418" s="594"/>
      <c r="E418" s="594"/>
      <c r="F418" s="594"/>
      <c r="G418" s="594"/>
      <c r="H418" s="134"/>
      <c r="I418" s="14"/>
      <c r="J418" s="494">
        <v>126</v>
      </c>
      <c r="K418" s="5"/>
      <c r="L418" s="286" t="str">
        <f t="shared" si="25"/>
        <v>OK</v>
      </c>
      <c r="N418" s="460"/>
      <c r="O418" s="460"/>
      <c r="P418" s="460"/>
      <c r="Q418" s="460"/>
      <c r="R418" s="460"/>
      <c r="S418" s="460"/>
      <c r="T418" s="460"/>
      <c r="U418" s="460"/>
    </row>
    <row r="419" spans="1:21" s="490" customFormat="1" ht="17.25" customHeight="1">
      <c r="A419" s="429" t="s">
        <v>258</v>
      </c>
      <c r="B419" s="594" t="s">
        <v>332</v>
      </c>
      <c r="C419" s="594"/>
      <c r="D419" s="594"/>
      <c r="E419" s="594"/>
      <c r="F419" s="594"/>
      <c r="G419" s="594"/>
      <c r="H419" s="134"/>
      <c r="I419" s="14"/>
      <c r="J419" s="494">
        <v>127</v>
      </c>
      <c r="K419" s="5"/>
      <c r="L419" s="286" t="str">
        <f t="shared" si="25"/>
        <v>OK</v>
      </c>
      <c r="N419" s="460"/>
      <c r="O419" s="460"/>
      <c r="P419" s="460"/>
      <c r="Q419" s="460"/>
      <c r="R419" s="460"/>
      <c r="S419" s="460"/>
      <c r="T419" s="460"/>
      <c r="U419" s="460"/>
    </row>
    <row r="420" spans="1:21" s="490" customFormat="1" ht="17.25" customHeight="1" thickBot="1">
      <c r="A420" s="429" t="s">
        <v>259</v>
      </c>
      <c r="B420" s="510" t="s">
        <v>333</v>
      </c>
      <c r="C420" s="510"/>
      <c r="D420" s="510"/>
      <c r="E420" s="510"/>
      <c r="F420" s="510"/>
      <c r="G420" s="510"/>
      <c r="H420" s="134"/>
      <c r="I420" s="279">
        <f>SUM(I421:I422)</f>
        <v>0</v>
      </c>
      <c r="J420" s="494">
        <v>128</v>
      </c>
      <c r="K420" s="5"/>
      <c r="L420" s="286" t="str">
        <f t="shared" si="25"/>
        <v>OK</v>
      </c>
      <c r="N420" s="460"/>
      <c r="O420" s="460"/>
      <c r="P420" s="460"/>
      <c r="Q420" s="460"/>
      <c r="R420" s="460"/>
      <c r="S420" s="460"/>
      <c r="T420" s="460"/>
      <c r="U420" s="460"/>
    </row>
    <row r="421" spans="1:21" s="490" customFormat="1" ht="17.25" customHeight="1" thickTop="1">
      <c r="A421" s="429" t="s">
        <v>260</v>
      </c>
      <c r="B421" s="594" t="s">
        <v>334</v>
      </c>
      <c r="C421" s="594"/>
      <c r="D421" s="594"/>
      <c r="E421" s="594"/>
      <c r="F421" s="594"/>
      <c r="G421" s="594"/>
      <c r="H421" s="134"/>
      <c r="I421" s="14"/>
      <c r="J421" s="494">
        <v>129</v>
      </c>
      <c r="K421" s="5"/>
      <c r="L421" s="286" t="str">
        <f t="shared" si="25"/>
        <v>OK</v>
      </c>
      <c r="N421" s="460"/>
      <c r="O421" s="460"/>
      <c r="P421" s="460"/>
      <c r="Q421" s="460"/>
      <c r="R421" s="460"/>
      <c r="S421" s="460"/>
      <c r="T421" s="460"/>
      <c r="U421" s="460"/>
    </row>
    <row r="422" spans="1:21" s="490" customFormat="1" ht="17.25" customHeight="1">
      <c r="A422" s="429" t="s">
        <v>261</v>
      </c>
      <c r="B422" s="594" t="s">
        <v>335</v>
      </c>
      <c r="C422" s="594"/>
      <c r="D422" s="594"/>
      <c r="E422" s="594"/>
      <c r="F422" s="594"/>
      <c r="G422" s="594"/>
      <c r="H422" s="134"/>
      <c r="I422" s="14"/>
      <c r="J422" s="494">
        <v>130</v>
      </c>
      <c r="K422" s="5"/>
      <c r="L422" s="286" t="str">
        <f>IF(I422&gt;=0,"OK","ERROR")</f>
        <v>OK</v>
      </c>
      <c r="N422" s="460"/>
      <c r="O422" s="460"/>
      <c r="P422" s="460"/>
      <c r="Q422" s="460"/>
      <c r="R422" s="460"/>
      <c r="S422" s="460"/>
      <c r="T422" s="460"/>
      <c r="U422" s="460"/>
    </row>
    <row r="423" spans="1:21" s="490" customFormat="1" ht="28.5" customHeight="1" thickBot="1">
      <c r="A423" s="419" t="s">
        <v>432</v>
      </c>
      <c r="B423" s="588" t="s">
        <v>431</v>
      </c>
      <c r="C423" s="515"/>
      <c r="D423" s="515"/>
      <c r="E423" s="515"/>
      <c r="F423" s="515"/>
      <c r="G423" s="515"/>
      <c r="H423" s="134"/>
      <c r="I423" s="279">
        <f>I424*1.06</f>
        <v>0</v>
      </c>
      <c r="J423" s="494">
        <v>131</v>
      </c>
      <c r="K423" s="5"/>
      <c r="O423" s="460"/>
      <c r="P423" s="460"/>
      <c r="Q423" s="460"/>
      <c r="R423" s="460"/>
      <c r="S423" s="460"/>
      <c r="T423" s="460"/>
      <c r="U423" s="460"/>
    </row>
    <row r="424" spans="1:21" s="490" customFormat="1" ht="28.5" customHeight="1" thickTop="1" thickBot="1">
      <c r="A424" s="419" t="s">
        <v>400</v>
      </c>
      <c r="B424" s="579" t="s">
        <v>1332</v>
      </c>
      <c r="C424" s="593"/>
      <c r="D424" s="593"/>
      <c r="E424" s="593"/>
      <c r="F424" s="593"/>
      <c r="G424" s="593"/>
      <c r="H424" s="134"/>
      <c r="I424" s="279">
        <f>I425+I426+I429+I432</f>
        <v>0</v>
      </c>
      <c r="J424" s="494">
        <v>132</v>
      </c>
      <c r="K424" s="5"/>
      <c r="L424" s="286" t="str">
        <f t="shared" si="25"/>
        <v>OK</v>
      </c>
      <c r="N424" s="460"/>
      <c r="O424" s="460"/>
      <c r="P424" s="460"/>
      <c r="Q424" s="460"/>
      <c r="R424" s="460"/>
      <c r="S424" s="460"/>
      <c r="T424" s="460"/>
      <c r="U424" s="460"/>
    </row>
    <row r="425" spans="1:21" s="490" customFormat="1" ht="17.25" customHeight="1" thickTop="1">
      <c r="A425" s="429" t="s">
        <v>262</v>
      </c>
      <c r="B425" s="510" t="s">
        <v>336</v>
      </c>
      <c r="C425" s="510"/>
      <c r="D425" s="510"/>
      <c r="E425" s="510"/>
      <c r="F425" s="510"/>
      <c r="G425" s="510"/>
      <c r="H425" s="134"/>
      <c r="I425" s="138"/>
      <c r="J425" s="494">
        <v>133</v>
      </c>
      <c r="K425" s="5"/>
      <c r="L425" s="286" t="str">
        <f t="shared" si="25"/>
        <v>OK</v>
      </c>
      <c r="N425" s="460"/>
      <c r="O425" s="460"/>
      <c r="P425" s="460"/>
      <c r="Q425" s="460"/>
      <c r="R425" s="460"/>
      <c r="S425" s="460"/>
      <c r="T425" s="460"/>
      <c r="U425" s="460"/>
    </row>
    <row r="426" spans="1:21" s="490" customFormat="1" ht="17.25" customHeight="1" thickBot="1">
      <c r="A426" s="429" t="s">
        <v>263</v>
      </c>
      <c r="B426" s="510" t="s">
        <v>330</v>
      </c>
      <c r="C426" s="510"/>
      <c r="D426" s="510"/>
      <c r="E426" s="510"/>
      <c r="F426" s="510"/>
      <c r="G426" s="510"/>
      <c r="H426" s="134"/>
      <c r="I426" s="279">
        <f>SUM(I427:I428)</f>
        <v>0</v>
      </c>
      <c r="J426" s="494">
        <v>134</v>
      </c>
      <c r="K426" s="5"/>
      <c r="L426" s="286" t="str">
        <f t="shared" si="25"/>
        <v>OK</v>
      </c>
      <c r="N426" s="460"/>
      <c r="O426" s="460"/>
      <c r="P426" s="460"/>
      <c r="Q426" s="460"/>
      <c r="R426" s="460"/>
      <c r="S426" s="460"/>
      <c r="T426" s="460"/>
      <c r="U426" s="460"/>
    </row>
    <row r="427" spans="1:21" s="490" customFormat="1" ht="17.25" customHeight="1" thickTop="1">
      <c r="A427" s="429" t="s">
        <v>264</v>
      </c>
      <c r="B427" s="594" t="s">
        <v>331</v>
      </c>
      <c r="C427" s="594"/>
      <c r="D427" s="594"/>
      <c r="E427" s="594"/>
      <c r="F427" s="594"/>
      <c r="G427" s="594"/>
      <c r="H427" s="134"/>
      <c r="I427" s="14"/>
      <c r="J427" s="494">
        <v>135</v>
      </c>
      <c r="K427" s="5"/>
      <c r="L427" s="286" t="str">
        <f t="shared" si="25"/>
        <v>OK</v>
      </c>
      <c r="N427" s="460"/>
      <c r="O427" s="460"/>
      <c r="P427" s="460"/>
      <c r="Q427" s="460"/>
      <c r="R427" s="460"/>
      <c r="S427" s="460"/>
      <c r="T427" s="460"/>
      <c r="U427" s="460"/>
    </row>
    <row r="428" spans="1:21" s="490" customFormat="1" ht="17.25" customHeight="1">
      <c r="A428" s="429" t="s">
        <v>265</v>
      </c>
      <c r="B428" s="594" t="s">
        <v>332</v>
      </c>
      <c r="C428" s="594"/>
      <c r="D428" s="594"/>
      <c r="E428" s="594"/>
      <c r="F428" s="594"/>
      <c r="G428" s="594"/>
      <c r="H428" s="134"/>
      <c r="I428" s="14"/>
      <c r="J428" s="494">
        <v>136</v>
      </c>
      <c r="K428" s="5"/>
      <c r="L428" s="286" t="str">
        <f t="shared" si="25"/>
        <v>OK</v>
      </c>
      <c r="N428" s="460"/>
      <c r="O428" s="460"/>
      <c r="P428" s="460"/>
      <c r="Q428" s="460"/>
      <c r="R428" s="460"/>
      <c r="S428" s="460"/>
      <c r="T428" s="460"/>
      <c r="U428" s="460"/>
    </row>
    <row r="429" spans="1:21" s="490" customFormat="1" ht="17.25" customHeight="1" thickBot="1">
      <c r="A429" s="429" t="s">
        <v>266</v>
      </c>
      <c r="B429" s="510" t="s">
        <v>333</v>
      </c>
      <c r="C429" s="510"/>
      <c r="D429" s="510"/>
      <c r="E429" s="510"/>
      <c r="F429" s="510"/>
      <c r="G429" s="510"/>
      <c r="H429" s="134"/>
      <c r="I429" s="279">
        <f>SUM(I430:I431)</f>
        <v>0</v>
      </c>
      <c r="J429" s="494">
        <v>137</v>
      </c>
      <c r="K429" s="5"/>
      <c r="L429" s="286" t="str">
        <f t="shared" si="25"/>
        <v>OK</v>
      </c>
      <c r="N429" s="460"/>
      <c r="O429" s="460"/>
      <c r="P429" s="460"/>
      <c r="Q429" s="460"/>
      <c r="R429" s="460"/>
      <c r="S429" s="460"/>
      <c r="T429" s="460"/>
      <c r="U429" s="460"/>
    </row>
    <row r="430" spans="1:21" s="490" customFormat="1" ht="17.25" customHeight="1" thickTop="1">
      <c r="A430" s="429" t="s">
        <v>267</v>
      </c>
      <c r="B430" s="594" t="s">
        <v>334</v>
      </c>
      <c r="C430" s="594"/>
      <c r="D430" s="594"/>
      <c r="E430" s="594"/>
      <c r="F430" s="594"/>
      <c r="G430" s="594"/>
      <c r="H430" s="134"/>
      <c r="I430" s="14"/>
      <c r="J430" s="494">
        <v>138</v>
      </c>
      <c r="K430" s="5"/>
      <c r="L430" s="286" t="str">
        <f t="shared" si="25"/>
        <v>OK</v>
      </c>
      <c r="N430" s="460"/>
      <c r="O430" s="460"/>
      <c r="P430" s="460"/>
      <c r="Q430" s="460"/>
      <c r="R430" s="460"/>
      <c r="S430" s="460"/>
      <c r="T430" s="460"/>
      <c r="U430" s="460"/>
    </row>
    <row r="431" spans="1:21" s="490" customFormat="1" ht="17.25" customHeight="1">
      <c r="A431" s="429" t="s">
        <v>268</v>
      </c>
      <c r="B431" s="594" t="s">
        <v>335</v>
      </c>
      <c r="C431" s="594"/>
      <c r="D431" s="594"/>
      <c r="E431" s="594"/>
      <c r="F431" s="594"/>
      <c r="G431" s="594"/>
      <c r="H431" s="134"/>
      <c r="I431" s="14"/>
      <c r="J431" s="494">
        <v>139</v>
      </c>
      <c r="K431" s="5"/>
      <c r="L431" s="286" t="str">
        <f t="shared" si="25"/>
        <v>OK</v>
      </c>
      <c r="N431" s="460"/>
      <c r="O431" s="460"/>
      <c r="P431" s="460"/>
      <c r="Q431" s="460"/>
      <c r="R431" s="460"/>
      <c r="S431" s="460"/>
      <c r="T431" s="460"/>
      <c r="U431" s="460"/>
    </row>
    <row r="432" spans="1:21" s="490" customFormat="1" ht="17.25" customHeight="1" thickBot="1">
      <c r="A432" s="429" t="s">
        <v>269</v>
      </c>
      <c r="B432" s="510" t="s">
        <v>337</v>
      </c>
      <c r="C432" s="510"/>
      <c r="D432" s="510"/>
      <c r="E432" s="510"/>
      <c r="F432" s="510"/>
      <c r="G432" s="510"/>
      <c r="H432" s="134"/>
      <c r="I432" s="279">
        <f>SUM(I433:I435)</f>
        <v>0</v>
      </c>
      <c r="J432" s="494">
        <v>140</v>
      </c>
      <c r="K432" s="5"/>
      <c r="L432" s="286" t="str">
        <f t="shared" si="25"/>
        <v>OK</v>
      </c>
      <c r="N432" s="460"/>
      <c r="O432" s="460"/>
      <c r="P432" s="460"/>
      <c r="Q432" s="460"/>
      <c r="R432" s="460"/>
      <c r="S432" s="460"/>
      <c r="T432" s="460"/>
      <c r="U432" s="460"/>
    </row>
    <row r="433" spans="1:21" s="490" customFormat="1" ht="17.25" customHeight="1" thickTop="1">
      <c r="A433" s="429" t="s">
        <v>270</v>
      </c>
      <c r="B433" s="594" t="s">
        <v>338</v>
      </c>
      <c r="C433" s="594"/>
      <c r="D433" s="594"/>
      <c r="E433" s="594"/>
      <c r="F433" s="594"/>
      <c r="G433" s="594"/>
      <c r="H433" s="134"/>
      <c r="I433" s="14"/>
      <c r="J433" s="494">
        <v>141</v>
      </c>
      <c r="K433" s="5"/>
      <c r="L433" s="286" t="str">
        <f t="shared" si="25"/>
        <v>OK</v>
      </c>
      <c r="N433" s="460"/>
      <c r="O433" s="460"/>
      <c r="P433" s="460"/>
      <c r="Q433" s="460"/>
      <c r="R433" s="460"/>
      <c r="S433" s="460"/>
      <c r="T433" s="460"/>
      <c r="U433" s="460"/>
    </row>
    <row r="434" spans="1:21" s="490" customFormat="1" ht="17.25" customHeight="1">
      <c r="A434" s="429" t="s">
        <v>271</v>
      </c>
      <c r="B434" s="594" t="s">
        <v>339</v>
      </c>
      <c r="C434" s="594"/>
      <c r="D434" s="594"/>
      <c r="E434" s="594"/>
      <c r="F434" s="594"/>
      <c r="G434" s="594"/>
      <c r="H434" s="134"/>
      <c r="I434" s="14"/>
      <c r="J434" s="494">
        <v>142</v>
      </c>
      <c r="K434" s="5"/>
      <c r="L434" s="286" t="str">
        <f t="shared" si="25"/>
        <v>OK</v>
      </c>
      <c r="N434" s="460"/>
      <c r="O434" s="460"/>
      <c r="P434" s="460"/>
      <c r="Q434" s="460"/>
      <c r="R434" s="460"/>
      <c r="S434" s="460"/>
      <c r="T434" s="460"/>
      <c r="U434" s="460"/>
    </row>
    <row r="435" spans="1:21" s="490" customFormat="1" ht="17.25" customHeight="1">
      <c r="A435" s="429" t="s">
        <v>272</v>
      </c>
      <c r="B435" s="594" t="s">
        <v>340</v>
      </c>
      <c r="C435" s="594"/>
      <c r="D435" s="594"/>
      <c r="E435" s="594"/>
      <c r="F435" s="594"/>
      <c r="G435" s="594"/>
      <c r="H435" s="134"/>
      <c r="I435" s="14"/>
      <c r="J435" s="494">
        <v>143</v>
      </c>
      <c r="K435" s="5"/>
      <c r="L435" s="286" t="str">
        <f t="shared" si="25"/>
        <v>OK</v>
      </c>
      <c r="N435" s="460"/>
      <c r="O435" s="460"/>
      <c r="P435" s="460"/>
      <c r="Q435" s="460"/>
      <c r="R435" s="460"/>
      <c r="S435" s="460"/>
      <c r="T435" s="460"/>
      <c r="U435" s="460"/>
    </row>
    <row r="436" spans="1:21" s="490" customFormat="1" ht="17.25" customHeight="1" thickBot="1">
      <c r="A436" s="429" t="s">
        <v>273</v>
      </c>
      <c r="B436" s="510" t="s">
        <v>433</v>
      </c>
      <c r="C436" s="510"/>
      <c r="D436" s="510"/>
      <c r="E436" s="510"/>
      <c r="F436" s="510"/>
      <c r="G436" s="510"/>
      <c r="H436" s="134"/>
      <c r="I436" s="279">
        <f>I437*1.06</f>
        <v>0</v>
      </c>
      <c r="J436" s="494">
        <v>144</v>
      </c>
      <c r="K436" s="5"/>
      <c r="O436" s="460"/>
      <c r="P436" s="460"/>
      <c r="Q436" s="460"/>
      <c r="R436" s="460"/>
      <c r="S436" s="460"/>
      <c r="T436" s="460"/>
      <c r="U436" s="460"/>
    </row>
    <row r="437" spans="1:21" s="490" customFormat="1" ht="17.25" customHeight="1" thickTop="1">
      <c r="A437" s="429" t="s">
        <v>274</v>
      </c>
      <c r="B437" s="510" t="s">
        <v>434</v>
      </c>
      <c r="C437" s="510"/>
      <c r="D437" s="510"/>
      <c r="E437" s="510"/>
      <c r="F437" s="510"/>
      <c r="G437" s="510"/>
      <c r="H437" s="134"/>
      <c r="I437" s="14"/>
      <c r="J437" s="494">
        <v>145</v>
      </c>
      <c r="K437" s="5"/>
      <c r="L437" s="286" t="str">
        <f t="shared" si="25"/>
        <v>OK</v>
      </c>
      <c r="N437" s="460"/>
      <c r="O437" s="460"/>
      <c r="P437" s="460"/>
      <c r="Q437" s="460"/>
      <c r="R437" s="460"/>
      <c r="S437" s="460"/>
      <c r="T437" s="460"/>
      <c r="U437" s="460"/>
    </row>
    <row r="438" spans="1:21" s="490" customFormat="1" ht="17.25" hidden="1" customHeight="1">
      <c r="A438" s="228"/>
      <c r="B438" s="595"/>
      <c r="C438" s="595"/>
      <c r="D438" s="595"/>
      <c r="E438" s="595"/>
      <c r="F438" s="595"/>
      <c r="G438" s="595"/>
      <c r="I438" s="431"/>
      <c r="J438" s="280"/>
    </row>
    <row r="439" spans="1:21" s="490" customFormat="1" ht="17.25" hidden="1" customHeight="1">
      <c r="A439" s="228"/>
      <c r="B439" s="595"/>
      <c r="C439" s="595"/>
      <c r="D439" s="595"/>
      <c r="E439" s="595"/>
      <c r="F439" s="595"/>
      <c r="G439" s="595"/>
      <c r="I439" s="431"/>
      <c r="J439" s="280"/>
    </row>
    <row r="440" spans="1:21" s="490" customFormat="1" ht="28.5" customHeight="1" thickBot="1">
      <c r="A440" s="443" t="s">
        <v>401</v>
      </c>
      <c r="B440" s="579" t="s">
        <v>435</v>
      </c>
      <c r="C440" s="593"/>
      <c r="D440" s="593"/>
      <c r="E440" s="593"/>
      <c r="F440" s="593"/>
      <c r="G440" s="593"/>
      <c r="H440" s="134"/>
      <c r="I440" s="279">
        <f>SUM(I441:I442)</f>
        <v>0</v>
      </c>
      <c r="J440" s="494">
        <v>148</v>
      </c>
      <c r="K440" s="5"/>
      <c r="N440" s="460"/>
      <c r="O440" s="460"/>
      <c r="P440" s="460"/>
      <c r="Q440" s="460"/>
      <c r="R440" s="460"/>
      <c r="S440" s="460"/>
      <c r="T440" s="460"/>
      <c r="U440" s="460"/>
    </row>
    <row r="441" spans="1:21" s="490" customFormat="1" ht="28.5" customHeight="1" thickTop="1">
      <c r="A441" s="419" t="s">
        <v>436</v>
      </c>
      <c r="B441" s="589" t="s">
        <v>1586</v>
      </c>
      <c r="C441" s="510"/>
      <c r="D441" s="510"/>
      <c r="E441" s="510"/>
      <c r="F441" s="510"/>
      <c r="G441" s="510"/>
      <c r="H441" s="134"/>
      <c r="I441" s="14"/>
      <c r="J441" s="494">
        <v>461</v>
      </c>
      <c r="K441" s="5"/>
      <c r="L441" s="286" t="str">
        <f t="shared" si="25"/>
        <v>OK</v>
      </c>
      <c r="N441" s="460"/>
      <c r="O441" s="460"/>
      <c r="P441" s="460"/>
      <c r="Q441" s="460"/>
      <c r="R441" s="460"/>
      <c r="S441" s="460"/>
      <c r="T441" s="460"/>
      <c r="U441" s="460"/>
    </row>
    <row r="442" spans="1:21" s="490" customFormat="1" ht="28.5" customHeight="1">
      <c r="A442" s="419" t="s">
        <v>437</v>
      </c>
      <c r="B442" s="589" t="s">
        <v>1587</v>
      </c>
      <c r="C442" s="510"/>
      <c r="D442" s="510"/>
      <c r="E442" s="510"/>
      <c r="F442" s="510"/>
      <c r="G442" s="510"/>
      <c r="H442" s="134"/>
      <c r="I442" s="14"/>
      <c r="J442" s="494">
        <v>462</v>
      </c>
      <c r="K442" s="5"/>
      <c r="L442" s="286" t="str">
        <f t="shared" si="25"/>
        <v>OK</v>
      </c>
      <c r="N442" s="460"/>
      <c r="O442" s="460"/>
      <c r="P442" s="460"/>
      <c r="Q442" s="460"/>
      <c r="R442" s="460"/>
      <c r="S442" s="460"/>
      <c r="T442" s="460"/>
      <c r="U442" s="460"/>
    </row>
    <row r="443" spans="1:21" s="490" customFormat="1" ht="6" customHeight="1">
      <c r="A443" s="424"/>
      <c r="B443" s="526"/>
      <c r="C443" s="526"/>
      <c r="D443" s="526"/>
      <c r="E443" s="526"/>
      <c r="F443" s="526"/>
      <c r="G443" s="526"/>
      <c r="H443" s="8"/>
      <c r="I443" s="277"/>
      <c r="J443" s="496"/>
      <c r="K443" s="6"/>
      <c r="L443" s="285"/>
      <c r="N443" s="460"/>
      <c r="O443" s="460"/>
      <c r="P443" s="460"/>
      <c r="Q443" s="460"/>
      <c r="R443" s="460"/>
      <c r="S443" s="460"/>
      <c r="T443" s="460"/>
      <c r="U443" s="460"/>
    </row>
    <row r="444" spans="1:21" ht="6" customHeight="1">
      <c r="A444" s="260"/>
      <c r="B444" s="527"/>
      <c r="C444" s="527"/>
      <c r="D444" s="527"/>
      <c r="E444" s="527"/>
      <c r="F444" s="527"/>
      <c r="G444" s="527"/>
      <c r="H444" s="134"/>
      <c r="I444" s="135"/>
      <c r="J444" s="494"/>
      <c r="K444" s="5"/>
      <c r="L444" s="285"/>
    </row>
    <row r="445" spans="1:21" ht="28.5" customHeight="1" thickBot="1">
      <c r="A445" s="443" t="s">
        <v>409</v>
      </c>
      <c r="B445" s="591" t="s">
        <v>530</v>
      </c>
      <c r="C445" s="592"/>
      <c r="D445" s="592"/>
      <c r="E445" s="592"/>
      <c r="F445" s="592"/>
      <c r="G445" s="592"/>
      <c r="H445" s="134"/>
      <c r="I445" s="279">
        <f>SUM(I446:I447)</f>
        <v>0</v>
      </c>
      <c r="J445" s="498">
        <v>463</v>
      </c>
      <c r="K445" s="5"/>
      <c r="L445" s="286" t="str">
        <f t="shared" ref="L445:L498" si="26">IF(I445&gt;=0,"OK","ERROR")</f>
        <v>OK</v>
      </c>
    </row>
    <row r="446" spans="1:21" ht="17.25" customHeight="1" thickTop="1">
      <c r="A446" s="429" t="s">
        <v>313</v>
      </c>
      <c r="B446" s="510" t="s">
        <v>341</v>
      </c>
      <c r="C446" s="510"/>
      <c r="D446" s="510"/>
      <c r="E446" s="510"/>
      <c r="F446" s="510"/>
      <c r="G446" s="510"/>
      <c r="H446" s="134"/>
      <c r="I446" s="14"/>
      <c r="J446" s="494">
        <v>464</v>
      </c>
      <c r="K446" s="5"/>
      <c r="L446" s="286" t="str">
        <f t="shared" si="26"/>
        <v>OK</v>
      </c>
    </row>
    <row r="447" spans="1:21" ht="17.25" customHeight="1">
      <c r="A447" s="429" t="s">
        <v>314</v>
      </c>
      <c r="B447" s="510" t="s">
        <v>420</v>
      </c>
      <c r="C447" s="510"/>
      <c r="D447" s="510"/>
      <c r="E447" s="510"/>
      <c r="F447" s="510"/>
      <c r="G447" s="510"/>
      <c r="H447" s="134"/>
      <c r="I447" s="14"/>
      <c r="J447" s="498">
        <v>465</v>
      </c>
      <c r="K447" s="5"/>
      <c r="L447" s="286" t="str">
        <f t="shared" si="26"/>
        <v>OK</v>
      </c>
    </row>
    <row r="448" spans="1:21" ht="28.5" customHeight="1">
      <c r="A448" s="443" t="s">
        <v>402</v>
      </c>
      <c r="B448" s="589" t="s">
        <v>438</v>
      </c>
      <c r="C448" s="510"/>
      <c r="D448" s="510"/>
      <c r="E448" s="510"/>
      <c r="F448" s="510"/>
      <c r="G448" s="510"/>
      <c r="H448" s="134"/>
      <c r="I448" s="14"/>
      <c r="J448" s="494">
        <v>466</v>
      </c>
      <c r="K448" s="5"/>
      <c r="L448" s="286" t="str">
        <f t="shared" si="26"/>
        <v>OK</v>
      </c>
    </row>
    <row r="449" spans="1:14" ht="28.5" customHeight="1" thickBot="1">
      <c r="A449" s="443" t="s">
        <v>408</v>
      </c>
      <c r="B449" s="591" t="s">
        <v>439</v>
      </c>
      <c r="C449" s="592"/>
      <c r="D449" s="592"/>
      <c r="E449" s="592"/>
      <c r="F449" s="592"/>
      <c r="G449" s="592"/>
      <c r="H449" s="134"/>
      <c r="I449" s="279">
        <f>SUM(I450:I452)</f>
        <v>0</v>
      </c>
      <c r="J449" s="498">
        <v>467</v>
      </c>
      <c r="K449" s="5"/>
      <c r="L449" s="286" t="str">
        <f t="shared" si="26"/>
        <v>OK</v>
      </c>
    </row>
    <row r="450" spans="1:14" ht="17.25" customHeight="1" thickTop="1">
      <c r="A450" s="429" t="s">
        <v>315</v>
      </c>
      <c r="B450" s="510" t="s">
        <v>342</v>
      </c>
      <c r="C450" s="510"/>
      <c r="D450" s="510"/>
      <c r="E450" s="510"/>
      <c r="F450" s="510"/>
      <c r="G450" s="510"/>
      <c r="H450" s="134"/>
      <c r="I450" s="14"/>
      <c r="J450" s="494">
        <v>468</v>
      </c>
      <c r="K450" s="5"/>
      <c r="L450" s="286" t="str">
        <f t="shared" si="26"/>
        <v>OK</v>
      </c>
    </row>
    <row r="451" spans="1:14" ht="17.25" customHeight="1">
      <c r="A451" s="429" t="s">
        <v>316</v>
      </c>
      <c r="B451" s="510" t="s">
        <v>405</v>
      </c>
      <c r="C451" s="510"/>
      <c r="D451" s="510"/>
      <c r="E451" s="510"/>
      <c r="F451" s="510"/>
      <c r="G451" s="510"/>
      <c r="H451" s="134"/>
      <c r="I451" s="14"/>
      <c r="J451" s="498">
        <v>469</v>
      </c>
      <c r="K451" s="5"/>
      <c r="L451" s="286" t="str">
        <f t="shared" si="26"/>
        <v>OK</v>
      </c>
    </row>
    <row r="452" spans="1:14" ht="17.25" customHeight="1">
      <c r="A452" s="429" t="s">
        <v>317</v>
      </c>
      <c r="B452" s="510" t="s">
        <v>343</v>
      </c>
      <c r="C452" s="510"/>
      <c r="D452" s="510"/>
      <c r="E452" s="510"/>
      <c r="F452" s="510"/>
      <c r="G452" s="510"/>
      <c r="H452" s="134"/>
      <c r="I452" s="14"/>
      <c r="J452" s="494">
        <v>470</v>
      </c>
      <c r="K452" s="5"/>
      <c r="L452" s="286" t="str">
        <f t="shared" si="26"/>
        <v>OK</v>
      </c>
    </row>
    <row r="453" spans="1:14" ht="28.5" customHeight="1">
      <c r="A453" s="419" t="s">
        <v>591</v>
      </c>
      <c r="B453" s="589" t="s">
        <v>592</v>
      </c>
      <c r="C453" s="510"/>
      <c r="D453" s="510"/>
      <c r="E453" s="510"/>
      <c r="F453" s="510"/>
      <c r="G453" s="510"/>
      <c r="H453" s="134"/>
      <c r="I453" s="14"/>
      <c r="J453" s="494">
        <v>1057</v>
      </c>
      <c r="K453" s="5"/>
      <c r="L453" s="286" t="str">
        <f>IF(I453&lt;=0,"OK","ERROR")</f>
        <v>OK</v>
      </c>
    </row>
    <row r="454" spans="1:14" ht="18.75" customHeight="1">
      <c r="A454" s="443" t="s">
        <v>597</v>
      </c>
      <c r="B454" s="590" t="s">
        <v>1439</v>
      </c>
      <c r="C454" s="590"/>
      <c r="D454" s="590"/>
      <c r="E454" s="590"/>
      <c r="F454" s="590"/>
      <c r="G454" s="590"/>
      <c r="H454" s="134"/>
      <c r="I454" s="14"/>
      <c r="J454" s="494">
        <v>1160</v>
      </c>
      <c r="K454" s="5"/>
      <c r="L454" s="115" t="str">
        <f t="shared" si="26"/>
        <v>OK</v>
      </c>
    </row>
    <row r="455" spans="1:14" ht="17.25" customHeight="1" thickBot="1">
      <c r="A455" s="443" t="s">
        <v>1280</v>
      </c>
      <c r="B455" s="591" t="s">
        <v>1281</v>
      </c>
      <c r="C455" s="592"/>
      <c r="D455" s="592"/>
      <c r="E455" s="592"/>
      <c r="F455" s="592"/>
      <c r="G455" s="592"/>
      <c r="H455" s="134"/>
      <c r="I455" s="279">
        <f>SUM(I456:I459)</f>
        <v>0</v>
      </c>
      <c r="J455" s="500">
        <v>601</v>
      </c>
      <c r="K455" s="5"/>
      <c r="L455" s="286" t="str">
        <f t="shared" si="26"/>
        <v>OK</v>
      </c>
    </row>
    <row r="456" spans="1:14" ht="17.25" customHeight="1" thickTop="1">
      <c r="A456" s="429" t="s">
        <v>1282</v>
      </c>
      <c r="B456" s="586" t="s">
        <v>1301</v>
      </c>
      <c r="C456" s="586"/>
      <c r="D456" s="586"/>
      <c r="E456" s="586"/>
      <c r="F456" s="586"/>
      <c r="G456" s="586"/>
      <c r="H456" s="134"/>
      <c r="I456" s="186"/>
      <c r="J456" s="280">
        <v>602</v>
      </c>
      <c r="K456" s="5"/>
      <c r="L456" s="286" t="str">
        <f t="shared" si="26"/>
        <v>OK</v>
      </c>
      <c r="N456" s="287" t="s">
        <v>1289</v>
      </c>
    </row>
    <row r="457" spans="1:14" ht="17.25" customHeight="1">
      <c r="A457" s="429" t="s">
        <v>1283</v>
      </c>
      <c r="B457" s="586" t="s">
        <v>1284</v>
      </c>
      <c r="C457" s="586"/>
      <c r="D457" s="586"/>
      <c r="E457" s="586"/>
      <c r="F457" s="586"/>
      <c r="G457" s="586"/>
      <c r="H457" s="134"/>
      <c r="I457" s="186"/>
      <c r="J457" s="500">
        <v>603</v>
      </c>
      <c r="K457" s="5"/>
      <c r="L457" s="286" t="str">
        <f t="shared" si="26"/>
        <v>OK</v>
      </c>
      <c r="N457" s="287" t="s">
        <v>1290</v>
      </c>
    </row>
    <row r="458" spans="1:14" ht="17.25" customHeight="1">
      <c r="A458" s="429" t="s">
        <v>1285</v>
      </c>
      <c r="B458" s="586" t="s">
        <v>1286</v>
      </c>
      <c r="C458" s="586"/>
      <c r="D458" s="586"/>
      <c r="E458" s="586"/>
      <c r="F458" s="586"/>
      <c r="G458" s="586"/>
      <c r="H458" s="134"/>
      <c r="I458" s="186"/>
      <c r="J458" s="280">
        <v>604</v>
      </c>
      <c r="K458" s="5"/>
      <c r="L458" s="286" t="str">
        <f t="shared" si="26"/>
        <v>OK</v>
      </c>
      <c r="N458" s="287" t="s">
        <v>1291</v>
      </c>
    </row>
    <row r="459" spans="1:14" ht="17.25" customHeight="1">
      <c r="A459" s="429" t="s">
        <v>1287</v>
      </c>
      <c r="B459" s="587" t="s">
        <v>1288</v>
      </c>
      <c r="C459" s="587"/>
      <c r="D459" s="587"/>
      <c r="E459" s="587"/>
      <c r="F459" s="587"/>
      <c r="G459" s="587"/>
      <c r="H459" s="134"/>
      <c r="I459" s="186"/>
      <c r="J459" s="280">
        <v>605</v>
      </c>
      <c r="K459" s="5"/>
      <c r="L459" s="286" t="str">
        <f t="shared" si="26"/>
        <v>OK</v>
      </c>
      <c r="N459" s="287" t="s">
        <v>1292</v>
      </c>
    </row>
    <row r="460" spans="1:14" ht="33" customHeight="1" thickBot="1">
      <c r="A460" s="269" t="s">
        <v>403</v>
      </c>
      <c r="B460" s="518" t="s">
        <v>440</v>
      </c>
      <c r="C460" s="519"/>
      <c r="D460" s="519"/>
      <c r="E460" s="519"/>
      <c r="F460" s="519"/>
      <c r="G460" s="519"/>
      <c r="H460" s="134"/>
      <c r="I460" s="279">
        <f>SUM(I461:I462)</f>
        <v>0</v>
      </c>
      <c r="J460" s="494">
        <v>149</v>
      </c>
      <c r="K460" s="5"/>
      <c r="L460" s="286" t="str">
        <f t="shared" si="26"/>
        <v>OK</v>
      </c>
    </row>
    <row r="461" spans="1:14" ht="17.25" customHeight="1" thickTop="1">
      <c r="A461" s="345" t="s">
        <v>275</v>
      </c>
      <c r="B461" s="515" t="s">
        <v>292</v>
      </c>
      <c r="C461" s="515"/>
      <c r="D461" s="515"/>
      <c r="E461" s="515"/>
      <c r="F461" s="515"/>
      <c r="G461" s="515"/>
      <c r="H461" s="134"/>
      <c r="I461" s="14"/>
      <c r="J461" s="494">
        <v>471</v>
      </c>
      <c r="K461" s="5"/>
      <c r="L461" s="286" t="str">
        <f t="shared" si="26"/>
        <v>OK</v>
      </c>
    </row>
    <row r="462" spans="1:14" ht="17.25" customHeight="1">
      <c r="A462" s="443" t="s">
        <v>452</v>
      </c>
      <c r="B462" s="588" t="s">
        <v>453</v>
      </c>
      <c r="C462" s="515"/>
      <c r="D462" s="515"/>
      <c r="E462" s="515"/>
      <c r="F462" s="515"/>
      <c r="G462" s="515"/>
      <c r="H462" s="134"/>
      <c r="I462" s="14"/>
      <c r="J462" s="494">
        <v>472</v>
      </c>
      <c r="K462" s="5"/>
      <c r="L462" s="286" t="str">
        <f t="shared" si="26"/>
        <v>OK</v>
      </c>
    </row>
    <row r="463" spans="1:14" ht="33" customHeight="1" thickBot="1">
      <c r="A463" s="269" t="s">
        <v>407</v>
      </c>
      <c r="B463" s="511" t="s">
        <v>441</v>
      </c>
      <c r="C463" s="512"/>
      <c r="D463" s="512"/>
      <c r="E463" s="512"/>
      <c r="F463" s="512"/>
      <c r="G463" s="512"/>
      <c r="H463" s="134"/>
      <c r="I463" s="279">
        <f>I464+I482</f>
        <v>0</v>
      </c>
      <c r="J463" s="494">
        <v>155</v>
      </c>
      <c r="K463" s="5"/>
      <c r="L463" s="286" t="str">
        <f t="shared" si="26"/>
        <v>OK</v>
      </c>
    </row>
    <row r="464" spans="1:14" ht="17.25" customHeight="1" thickTop="1" thickBot="1">
      <c r="A464" s="345" t="s">
        <v>73</v>
      </c>
      <c r="B464" s="515" t="s">
        <v>410</v>
      </c>
      <c r="C464" s="515"/>
      <c r="D464" s="515"/>
      <c r="E464" s="515"/>
      <c r="F464" s="515"/>
      <c r="G464" s="515"/>
      <c r="H464" s="134"/>
      <c r="I464" s="279">
        <f>I465+I470+I473+I474+I475+I478</f>
        <v>0</v>
      </c>
      <c r="J464" s="494">
        <v>156</v>
      </c>
      <c r="K464" s="5"/>
      <c r="L464" s="286" t="str">
        <f t="shared" si="26"/>
        <v>OK</v>
      </c>
    </row>
    <row r="465" spans="1:14" ht="17.25" customHeight="1" thickTop="1" thickBot="1">
      <c r="A465" s="345" t="s">
        <v>74</v>
      </c>
      <c r="B465" s="515" t="s">
        <v>344</v>
      </c>
      <c r="C465" s="515"/>
      <c r="D465" s="515"/>
      <c r="E465" s="515"/>
      <c r="F465" s="515"/>
      <c r="G465" s="515"/>
      <c r="H465" s="134"/>
      <c r="I465" s="279">
        <f>I466+I469</f>
        <v>0</v>
      </c>
      <c r="J465" s="494">
        <v>157</v>
      </c>
      <c r="K465" s="5"/>
      <c r="L465" s="286" t="str">
        <f t="shared" si="26"/>
        <v>OK</v>
      </c>
    </row>
    <row r="466" spans="1:14" ht="17.25" customHeight="1" thickTop="1" thickBot="1">
      <c r="A466" s="345" t="s">
        <v>75</v>
      </c>
      <c r="B466" s="515" t="s">
        <v>445</v>
      </c>
      <c r="C466" s="515"/>
      <c r="D466" s="515"/>
      <c r="E466" s="515"/>
      <c r="F466" s="515"/>
      <c r="G466" s="515"/>
      <c r="H466" s="134"/>
      <c r="I466" s="279">
        <f>SUM(I467:I468)</f>
        <v>0</v>
      </c>
      <c r="J466" s="494">
        <v>158</v>
      </c>
      <c r="K466" s="5"/>
      <c r="L466" s="286" t="str">
        <f t="shared" si="26"/>
        <v>OK</v>
      </c>
    </row>
    <row r="467" spans="1:14" ht="17.25" customHeight="1" thickTop="1" thickBot="1">
      <c r="A467" s="345" t="s">
        <v>446</v>
      </c>
      <c r="B467" s="585" t="s">
        <v>449</v>
      </c>
      <c r="C467" s="585"/>
      <c r="D467" s="585"/>
      <c r="E467" s="585"/>
      <c r="F467" s="585"/>
      <c r="G467" s="585"/>
      <c r="H467" s="134"/>
      <c r="I467" s="279">
        <f>'CSIB_MKR_BIS.MELD'!K58</f>
        <v>0</v>
      </c>
      <c r="J467" s="494">
        <v>473</v>
      </c>
      <c r="K467" s="5"/>
      <c r="L467" s="286" t="str">
        <f t="shared" si="26"/>
        <v>OK</v>
      </c>
      <c r="N467" s="287" t="s">
        <v>1240</v>
      </c>
    </row>
    <row r="468" spans="1:14" ht="17.25" customHeight="1" thickTop="1" thickBot="1">
      <c r="A468" s="345" t="s">
        <v>447</v>
      </c>
      <c r="B468" s="585" t="s">
        <v>448</v>
      </c>
      <c r="C468" s="585"/>
      <c r="D468" s="585"/>
      <c r="E468" s="585"/>
      <c r="F468" s="585"/>
      <c r="G468" s="585"/>
      <c r="H468" s="134"/>
      <c r="I468" s="279">
        <f>'CSIB_MKR_BIS.MELD'!K67</f>
        <v>0</v>
      </c>
      <c r="J468" s="494">
        <v>474</v>
      </c>
      <c r="K468" s="5"/>
      <c r="L468" s="286" t="str">
        <f t="shared" si="26"/>
        <v>OK</v>
      </c>
      <c r="N468" s="287" t="s">
        <v>1161</v>
      </c>
    </row>
    <row r="469" spans="1:14" ht="17.25" customHeight="1" thickTop="1" thickBot="1">
      <c r="A469" s="345" t="s">
        <v>76</v>
      </c>
      <c r="B469" s="515" t="s">
        <v>450</v>
      </c>
      <c r="C469" s="515"/>
      <c r="D469" s="515"/>
      <c r="E469" s="515"/>
      <c r="F469" s="515"/>
      <c r="G469" s="515"/>
      <c r="H469" s="134"/>
      <c r="I469" s="279">
        <f>'CSIB_MKR_BIS.MELD'!K74</f>
        <v>0</v>
      </c>
      <c r="J469" s="494">
        <v>159</v>
      </c>
      <c r="K469" s="5"/>
      <c r="L469" s="286" t="str">
        <f t="shared" si="26"/>
        <v>OK</v>
      </c>
      <c r="N469" s="287" t="s">
        <v>1162</v>
      </c>
    </row>
    <row r="470" spans="1:14" ht="17.25" customHeight="1" thickTop="1" thickBot="1">
      <c r="A470" s="345" t="s">
        <v>77</v>
      </c>
      <c r="B470" s="515" t="s">
        <v>345</v>
      </c>
      <c r="C470" s="515"/>
      <c r="D470" s="515"/>
      <c r="E470" s="515"/>
      <c r="F470" s="515"/>
      <c r="G470" s="515"/>
      <c r="H470" s="134"/>
      <c r="I470" s="279">
        <f>SUM(I471:I472)</f>
        <v>0</v>
      </c>
      <c r="J470" s="494">
        <v>160</v>
      </c>
      <c r="K470" s="5"/>
      <c r="L470" s="286" t="str">
        <f t="shared" si="26"/>
        <v>OK</v>
      </c>
    </row>
    <row r="471" spans="1:14" ht="17.25" customHeight="1" thickTop="1" thickBot="1">
      <c r="A471" s="345" t="s">
        <v>78</v>
      </c>
      <c r="B471" s="515" t="s">
        <v>346</v>
      </c>
      <c r="C471" s="515"/>
      <c r="D471" s="515"/>
      <c r="E471" s="515"/>
      <c r="F471" s="515"/>
      <c r="G471" s="515"/>
      <c r="H471" s="134"/>
      <c r="I471" s="279">
        <f>'CSIB_MKR_BIS.MELD'!K81</f>
        <v>0</v>
      </c>
      <c r="J471" s="494">
        <v>161</v>
      </c>
      <c r="K471" s="5"/>
      <c r="L471" s="286" t="str">
        <f t="shared" si="26"/>
        <v>OK</v>
      </c>
      <c r="N471" s="287" t="s">
        <v>1163</v>
      </c>
    </row>
    <row r="472" spans="1:14" ht="17.25" customHeight="1" thickTop="1" thickBot="1">
      <c r="A472" s="345" t="s">
        <v>79</v>
      </c>
      <c r="B472" s="515" t="s">
        <v>347</v>
      </c>
      <c r="C472" s="515"/>
      <c r="D472" s="515"/>
      <c r="E472" s="515"/>
      <c r="F472" s="515"/>
      <c r="G472" s="515"/>
      <c r="H472" s="134"/>
      <c r="I472" s="279">
        <f>'CSIB_MKR_BIS.MELD'!K87</f>
        <v>0</v>
      </c>
      <c r="J472" s="494">
        <v>162</v>
      </c>
      <c r="K472" s="5"/>
      <c r="L472" s="286" t="str">
        <f t="shared" si="26"/>
        <v>OK</v>
      </c>
      <c r="N472" s="287" t="s">
        <v>1164</v>
      </c>
    </row>
    <row r="473" spans="1:14" ht="17.25" customHeight="1" thickTop="1" thickBot="1">
      <c r="A473" s="345" t="s">
        <v>80</v>
      </c>
      <c r="B473" s="515" t="s">
        <v>348</v>
      </c>
      <c r="C473" s="515"/>
      <c r="D473" s="515"/>
      <c r="E473" s="515"/>
      <c r="F473" s="515"/>
      <c r="G473" s="515"/>
      <c r="H473" s="134"/>
      <c r="I473" s="279">
        <f>'CSIB_MKR_BIS.MELD'!K18</f>
        <v>0</v>
      </c>
      <c r="J473" s="494">
        <v>163</v>
      </c>
      <c r="K473" s="5"/>
      <c r="L473" s="286" t="str">
        <f t="shared" si="26"/>
        <v>OK</v>
      </c>
      <c r="N473" s="287" t="s">
        <v>1165</v>
      </c>
    </row>
    <row r="474" spans="1:14" ht="17.25" customHeight="1" thickTop="1" thickBot="1">
      <c r="A474" s="345" t="s">
        <v>81</v>
      </c>
      <c r="B474" s="515" t="s">
        <v>349</v>
      </c>
      <c r="C474" s="515"/>
      <c r="D474" s="515"/>
      <c r="E474" s="515"/>
      <c r="F474" s="515"/>
      <c r="G474" s="515"/>
      <c r="H474" s="134"/>
      <c r="I474" s="279">
        <f>'CSIB_MKR_BIS.MELD'!K19</f>
        <v>0</v>
      </c>
      <c r="J474" s="494">
        <v>164</v>
      </c>
      <c r="K474" s="5"/>
      <c r="L474" s="286" t="str">
        <f t="shared" si="26"/>
        <v>OK</v>
      </c>
      <c r="N474" s="287" t="s">
        <v>1166</v>
      </c>
    </row>
    <row r="475" spans="1:14" ht="17.25" customHeight="1" thickTop="1" thickBot="1">
      <c r="A475" s="345" t="s">
        <v>82</v>
      </c>
      <c r="B475" s="515" t="s">
        <v>350</v>
      </c>
      <c r="C475" s="515"/>
      <c r="D475" s="515"/>
      <c r="E475" s="515"/>
      <c r="F475" s="515"/>
      <c r="G475" s="515"/>
      <c r="H475" s="134"/>
      <c r="I475" s="279">
        <f>SUM('CSIB_MKR_BIS.MELD'!K20:K21)</f>
        <v>0</v>
      </c>
      <c r="J475" s="494">
        <v>165</v>
      </c>
      <c r="K475" s="5"/>
      <c r="L475" s="286" t="str">
        <f>IF(AND(I475&gt;=0,I475=SUM(I476:I477)),"OK","ERROR")</f>
        <v>OK</v>
      </c>
      <c r="N475" s="287" t="s">
        <v>1167</v>
      </c>
    </row>
    <row r="476" spans="1:14" ht="17.25" customHeight="1" thickTop="1">
      <c r="A476" s="260" t="s">
        <v>293</v>
      </c>
      <c r="B476" s="585" t="s">
        <v>351</v>
      </c>
      <c r="C476" s="585"/>
      <c r="D476" s="585"/>
      <c r="E476" s="585"/>
      <c r="F476" s="585"/>
      <c r="G476" s="585"/>
      <c r="H476" s="134"/>
      <c r="I476" s="14"/>
      <c r="J476" s="494">
        <v>475</v>
      </c>
      <c r="K476" s="5"/>
      <c r="L476" s="286" t="str">
        <f t="shared" si="26"/>
        <v>OK</v>
      </c>
    </row>
    <row r="477" spans="1:14" ht="17.25" customHeight="1">
      <c r="A477" s="260" t="s">
        <v>294</v>
      </c>
      <c r="B477" s="585" t="s">
        <v>352</v>
      </c>
      <c r="C477" s="585"/>
      <c r="D477" s="585"/>
      <c r="E477" s="585"/>
      <c r="F477" s="585"/>
      <c r="G477" s="585"/>
      <c r="H477" s="134"/>
      <c r="I477" s="14"/>
      <c r="J477" s="494">
        <v>476</v>
      </c>
      <c r="K477" s="5"/>
      <c r="L477" s="286" t="str">
        <f t="shared" si="26"/>
        <v>OK</v>
      </c>
    </row>
    <row r="478" spans="1:14" ht="17.25" customHeight="1" thickBot="1">
      <c r="A478" s="345" t="s">
        <v>83</v>
      </c>
      <c r="B478" s="515" t="s">
        <v>353</v>
      </c>
      <c r="C478" s="515"/>
      <c r="D478" s="515"/>
      <c r="E478" s="515"/>
      <c r="F478" s="515"/>
      <c r="G478" s="515"/>
      <c r="H478" s="134"/>
      <c r="I478" s="279">
        <f>SUM(I479:I481)</f>
        <v>0</v>
      </c>
      <c r="J478" s="494">
        <v>166</v>
      </c>
      <c r="K478" s="5"/>
      <c r="L478" s="286" t="str">
        <f t="shared" si="26"/>
        <v>OK</v>
      </c>
    </row>
    <row r="479" spans="1:14" ht="17.25" customHeight="1" thickTop="1" thickBot="1">
      <c r="A479" s="345" t="s">
        <v>84</v>
      </c>
      <c r="B479" s="515" t="s">
        <v>354</v>
      </c>
      <c r="C479" s="515"/>
      <c r="D479" s="515"/>
      <c r="E479" s="515"/>
      <c r="F479" s="515"/>
      <c r="G479" s="515"/>
      <c r="H479" s="134"/>
      <c r="I479" s="279">
        <f>'CSIB_MKR_BIS.MELD'!K97</f>
        <v>0</v>
      </c>
      <c r="J479" s="494">
        <v>167</v>
      </c>
      <c r="K479" s="5"/>
      <c r="L479" s="286" t="str">
        <f t="shared" si="26"/>
        <v>OK</v>
      </c>
      <c r="N479" s="287" t="s">
        <v>1168</v>
      </c>
    </row>
    <row r="480" spans="1:14" ht="17.25" customHeight="1" thickTop="1" thickBot="1">
      <c r="A480" s="345" t="s">
        <v>85</v>
      </c>
      <c r="B480" s="515" t="s">
        <v>355</v>
      </c>
      <c r="C480" s="515"/>
      <c r="D480" s="515"/>
      <c r="E480" s="515"/>
      <c r="F480" s="515"/>
      <c r="G480" s="515"/>
      <c r="H480" s="134"/>
      <c r="I480" s="279">
        <f>SUM('CSIB_MKR_BIS.MELD'!K108,'CSIB_MKR_BIS.MELD'!K116)</f>
        <v>0</v>
      </c>
      <c r="J480" s="494">
        <v>168</v>
      </c>
      <c r="K480" s="5"/>
      <c r="L480" s="286" t="str">
        <f t="shared" si="26"/>
        <v>OK</v>
      </c>
      <c r="N480" s="287" t="s">
        <v>1169</v>
      </c>
    </row>
    <row r="481" spans="1:14" ht="17.25" customHeight="1" thickTop="1" thickBot="1">
      <c r="A481" s="345" t="s">
        <v>86</v>
      </c>
      <c r="B481" s="515" t="s">
        <v>356</v>
      </c>
      <c r="C481" s="515"/>
      <c r="D481" s="515"/>
      <c r="E481" s="515"/>
      <c r="F481" s="515"/>
      <c r="G481" s="515"/>
      <c r="H481" s="134"/>
      <c r="I481" s="279">
        <f>'CSIB_MKR_BIS.MELD'!K126</f>
        <v>0</v>
      </c>
      <c r="J481" s="494">
        <v>169</v>
      </c>
      <c r="K481" s="5"/>
      <c r="L481" s="286" t="str">
        <f t="shared" si="26"/>
        <v>OK</v>
      </c>
      <c r="N481" s="287" t="s">
        <v>1170</v>
      </c>
    </row>
    <row r="482" spans="1:14" ht="17.25" customHeight="1" thickTop="1" thickBot="1">
      <c r="A482" s="345" t="s">
        <v>87</v>
      </c>
      <c r="B482" s="515" t="s">
        <v>411</v>
      </c>
      <c r="C482" s="515"/>
      <c r="D482" s="515"/>
      <c r="E482" s="515"/>
      <c r="F482" s="515"/>
      <c r="G482" s="515"/>
      <c r="H482" s="134"/>
      <c r="I482" s="279">
        <f>'CSIB_MKR_BIS.MELD'!K160</f>
        <v>0</v>
      </c>
      <c r="J482" s="494">
        <v>170</v>
      </c>
      <c r="K482" s="5"/>
      <c r="L482" s="286" t="str">
        <f t="shared" si="26"/>
        <v>OK</v>
      </c>
      <c r="N482" s="287" t="s">
        <v>1171</v>
      </c>
    </row>
    <row r="483" spans="1:14" ht="33" customHeight="1" thickTop="1" thickBot="1">
      <c r="A483" s="269" t="s">
        <v>404</v>
      </c>
      <c r="B483" s="511" t="s">
        <v>442</v>
      </c>
      <c r="C483" s="511"/>
      <c r="D483" s="511"/>
      <c r="E483" s="511"/>
      <c r="F483" s="511"/>
      <c r="G483" s="511"/>
      <c r="H483" s="134"/>
      <c r="I483" s="279">
        <f>SUM(I484:I486)</f>
        <v>0</v>
      </c>
      <c r="J483" s="494">
        <v>171</v>
      </c>
      <c r="K483" s="5"/>
      <c r="L483" s="286" t="str">
        <f>IF(I483&gt;0,"OK","ERROR")</f>
        <v>ERROR</v>
      </c>
    </row>
    <row r="484" spans="1:14" ht="17.25" customHeight="1" thickTop="1">
      <c r="A484" s="345" t="s">
        <v>88</v>
      </c>
      <c r="B484" s="510" t="s">
        <v>295</v>
      </c>
      <c r="C484" s="510"/>
      <c r="D484" s="510"/>
      <c r="E484" s="510"/>
      <c r="F484" s="510"/>
      <c r="G484" s="510"/>
      <c r="H484" s="134"/>
      <c r="I484" s="14"/>
      <c r="J484" s="494">
        <v>172</v>
      </c>
      <c r="K484" s="5"/>
      <c r="L484" s="286" t="str">
        <f t="shared" si="26"/>
        <v>OK</v>
      </c>
    </row>
    <row r="485" spans="1:14" ht="17.25" customHeight="1">
      <c r="A485" s="345" t="s">
        <v>89</v>
      </c>
      <c r="B485" s="510" t="s">
        <v>296</v>
      </c>
      <c r="C485" s="510"/>
      <c r="D485" s="510"/>
      <c r="E485" s="510"/>
      <c r="F485" s="510"/>
      <c r="G485" s="510"/>
      <c r="H485" s="134"/>
      <c r="I485" s="14"/>
      <c r="J485" s="494">
        <v>173</v>
      </c>
      <c r="K485" s="5"/>
      <c r="L485" s="286" t="str">
        <f t="shared" si="26"/>
        <v>OK</v>
      </c>
    </row>
    <row r="486" spans="1:14" ht="17.25" customHeight="1">
      <c r="A486" s="345" t="s">
        <v>90</v>
      </c>
      <c r="B486" s="510" t="s">
        <v>297</v>
      </c>
      <c r="C486" s="510"/>
      <c r="D486" s="510"/>
      <c r="E486" s="510"/>
      <c r="F486" s="510"/>
      <c r="G486" s="510"/>
      <c r="H486" s="134"/>
      <c r="I486" s="14"/>
      <c r="J486" s="494">
        <v>174</v>
      </c>
      <c r="K486" s="5"/>
      <c r="L486" s="286" t="str">
        <f t="shared" si="26"/>
        <v>OK</v>
      </c>
    </row>
    <row r="487" spans="1:14" ht="33" customHeight="1">
      <c r="A487" s="269" t="s">
        <v>412</v>
      </c>
      <c r="B487" s="584" t="s">
        <v>1333</v>
      </c>
      <c r="C487" s="584"/>
      <c r="D487" s="584"/>
      <c r="E487" s="584"/>
      <c r="F487" s="584"/>
      <c r="G487" s="584"/>
      <c r="H487" s="134"/>
      <c r="I487" s="14"/>
      <c r="J487" s="494">
        <v>477</v>
      </c>
      <c r="K487" s="5"/>
      <c r="L487" s="286" t="str">
        <f t="shared" si="26"/>
        <v>OK</v>
      </c>
    </row>
    <row r="488" spans="1:14" ht="33" customHeight="1">
      <c r="A488" s="269" t="s">
        <v>514</v>
      </c>
      <c r="B488" s="511" t="s">
        <v>1588</v>
      </c>
      <c r="C488" s="511"/>
      <c r="D488" s="511"/>
      <c r="E488" s="511"/>
      <c r="F488" s="511"/>
      <c r="G488" s="511"/>
      <c r="H488" s="134"/>
      <c r="I488" s="186"/>
      <c r="J488" s="494">
        <v>175</v>
      </c>
      <c r="K488" s="6"/>
      <c r="L488" s="286" t="str">
        <f t="shared" si="26"/>
        <v>OK</v>
      </c>
    </row>
    <row r="489" spans="1:14" ht="33" customHeight="1">
      <c r="A489" s="269" t="s">
        <v>515</v>
      </c>
      <c r="B489" s="511" t="s">
        <v>1589</v>
      </c>
      <c r="C489" s="511"/>
      <c r="D489" s="511"/>
      <c r="E489" s="511"/>
      <c r="F489" s="511"/>
      <c r="G489" s="511"/>
      <c r="H489" s="134"/>
      <c r="I489" s="186"/>
      <c r="J489" s="494">
        <v>178</v>
      </c>
      <c r="K489" s="6"/>
      <c r="L489" s="286" t="str">
        <f t="shared" si="26"/>
        <v>OK</v>
      </c>
    </row>
    <row r="490" spans="1:14" ht="33" customHeight="1">
      <c r="A490" s="269" t="s">
        <v>516</v>
      </c>
      <c r="B490" s="511" t="s">
        <v>1590</v>
      </c>
      <c r="C490" s="511"/>
      <c r="D490" s="511"/>
      <c r="E490" s="511"/>
      <c r="F490" s="511"/>
      <c r="G490" s="511"/>
      <c r="H490" s="134"/>
      <c r="I490" s="186"/>
      <c r="J490" s="494">
        <v>181</v>
      </c>
      <c r="K490" s="6"/>
      <c r="L490" s="286" t="str">
        <f>IF(I490&lt;=0,"OK","ERROR")</f>
        <v>OK</v>
      </c>
    </row>
    <row r="491" spans="1:14" ht="33" customHeight="1" thickBot="1">
      <c r="A491" s="465">
        <v>2.9</v>
      </c>
      <c r="B491" s="584" t="s">
        <v>1681</v>
      </c>
      <c r="C491" s="584"/>
      <c r="D491" s="584"/>
      <c r="E491" s="584"/>
      <c r="F491" s="584"/>
      <c r="G491" s="584"/>
      <c r="H491" s="134"/>
      <c r="I491" s="309">
        <f>SUM(I492:I494)</f>
        <v>0</v>
      </c>
      <c r="J491" s="494">
        <v>608</v>
      </c>
      <c r="K491" s="6"/>
      <c r="L491" s="460"/>
      <c r="M491" s="460"/>
    </row>
    <row r="492" spans="1:14" ht="17.25" customHeight="1" thickTop="1">
      <c r="A492" s="448" t="s">
        <v>1334</v>
      </c>
      <c r="B492" s="583" t="s">
        <v>1335</v>
      </c>
      <c r="C492" s="583"/>
      <c r="D492" s="583"/>
      <c r="E492" s="583"/>
      <c r="F492" s="583"/>
      <c r="G492" s="583"/>
      <c r="H492" s="134"/>
      <c r="I492" s="186"/>
      <c r="J492" s="494">
        <v>609</v>
      </c>
      <c r="K492" s="6"/>
      <c r="L492" s="115" t="str">
        <f t="shared" ref="L492:L493" si="27">IF(I492&gt;=0,"OK","ERROR")</f>
        <v>OK</v>
      </c>
    </row>
    <row r="493" spans="1:14" ht="17.25" customHeight="1">
      <c r="A493" s="448" t="s">
        <v>1336</v>
      </c>
      <c r="B493" s="583" t="s">
        <v>1337</v>
      </c>
      <c r="C493" s="583"/>
      <c r="D493" s="583"/>
      <c r="E493" s="583"/>
      <c r="F493" s="583"/>
      <c r="G493" s="583"/>
      <c r="H493" s="134"/>
      <c r="I493" s="186"/>
      <c r="J493" s="494">
        <v>610</v>
      </c>
      <c r="K493" s="6"/>
      <c r="L493" s="115" t="str">
        <f t="shared" si="27"/>
        <v>OK</v>
      </c>
    </row>
    <row r="494" spans="1:14" ht="17.25" customHeight="1">
      <c r="A494" s="448" t="s">
        <v>1338</v>
      </c>
      <c r="B494" s="582" t="s">
        <v>1682</v>
      </c>
      <c r="C494" s="582"/>
      <c r="D494" s="582"/>
      <c r="E494" s="582"/>
      <c r="F494" s="582"/>
      <c r="G494" s="582"/>
      <c r="H494" s="134"/>
      <c r="I494" s="186"/>
      <c r="J494" s="494">
        <v>611</v>
      </c>
      <c r="K494" s="6"/>
      <c r="L494" s="115" t="str">
        <f>IF(I494&lt;=0,"OK","ERROR")</f>
        <v>OK</v>
      </c>
    </row>
    <row r="495" spans="1:14" ht="33" customHeight="1" thickBot="1">
      <c r="A495" s="269" t="s">
        <v>534</v>
      </c>
      <c r="B495" s="511" t="s">
        <v>517</v>
      </c>
      <c r="C495" s="511"/>
      <c r="D495" s="511"/>
      <c r="E495" s="511"/>
      <c r="F495" s="511"/>
      <c r="G495" s="511"/>
      <c r="H495" s="134"/>
      <c r="I495" s="309">
        <f>SUM(I496:I498)</f>
        <v>0</v>
      </c>
      <c r="J495" s="494">
        <v>179</v>
      </c>
      <c r="K495" s="6"/>
      <c r="L495" s="286" t="str">
        <f t="shared" si="26"/>
        <v>OK</v>
      </c>
      <c r="M495" s="460"/>
    </row>
    <row r="496" spans="1:14" ht="17.25" customHeight="1" thickTop="1">
      <c r="A496" s="448" t="s">
        <v>1339</v>
      </c>
      <c r="B496" s="583" t="s">
        <v>1340</v>
      </c>
      <c r="C496" s="583"/>
      <c r="D496" s="583"/>
      <c r="E496" s="583"/>
      <c r="F496" s="583"/>
      <c r="G496" s="583"/>
      <c r="H496" s="6"/>
      <c r="I496" s="186"/>
      <c r="J496" s="494">
        <v>612</v>
      </c>
      <c r="K496" s="6"/>
      <c r="L496" s="115" t="str">
        <f t="shared" si="26"/>
        <v>OK</v>
      </c>
    </row>
    <row r="497" spans="1:21" ht="17.25" customHeight="1">
      <c r="A497" s="448" t="s">
        <v>1341</v>
      </c>
      <c r="B497" s="583" t="s">
        <v>1440</v>
      </c>
      <c r="C497" s="583"/>
      <c r="D497" s="583"/>
      <c r="E497" s="583"/>
      <c r="F497" s="583"/>
      <c r="G497" s="583"/>
      <c r="H497" s="6"/>
      <c r="I497" s="186"/>
      <c r="J497" s="494">
        <v>613</v>
      </c>
      <c r="K497" s="6"/>
      <c r="L497" s="115" t="str">
        <f t="shared" si="26"/>
        <v>OK</v>
      </c>
    </row>
    <row r="498" spans="1:21" ht="17.25" customHeight="1">
      <c r="A498" s="448" t="s">
        <v>1342</v>
      </c>
      <c r="B498" s="582" t="s">
        <v>1343</v>
      </c>
      <c r="C498" s="582"/>
      <c r="D498" s="582"/>
      <c r="E498" s="582"/>
      <c r="F498" s="582"/>
      <c r="G498" s="582"/>
      <c r="H498" s="6"/>
      <c r="I498" s="186"/>
      <c r="J498" s="494">
        <v>614</v>
      </c>
      <c r="K498" s="6"/>
      <c r="L498" s="115" t="str">
        <f t="shared" si="26"/>
        <v>OK</v>
      </c>
    </row>
    <row r="499" spans="1:21" s="490" customFormat="1" ht="6" customHeight="1">
      <c r="A499" s="424"/>
      <c r="B499" s="526"/>
      <c r="C499" s="526"/>
      <c r="D499" s="526"/>
      <c r="E499" s="526"/>
      <c r="F499" s="526"/>
      <c r="G499" s="526"/>
      <c r="H499" s="8"/>
      <c r="I499" s="277"/>
      <c r="J499" s="496"/>
      <c r="K499" s="6"/>
      <c r="L499" s="285"/>
      <c r="N499" s="460"/>
      <c r="O499" s="460"/>
      <c r="P499" s="460"/>
      <c r="Q499" s="460"/>
      <c r="R499" s="460"/>
      <c r="S499" s="460"/>
      <c r="T499" s="460"/>
      <c r="U499" s="460"/>
    </row>
    <row r="500" spans="1:21" ht="6" customHeight="1">
      <c r="A500" s="260"/>
      <c r="B500" s="527"/>
      <c r="C500" s="527"/>
      <c r="D500" s="527"/>
      <c r="E500" s="527"/>
      <c r="F500" s="527"/>
      <c r="G500" s="527"/>
      <c r="H500" s="134"/>
      <c r="I500" s="135"/>
      <c r="J500" s="494"/>
      <c r="K500" s="5"/>
      <c r="L500" s="285"/>
    </row>
    <row r="501" spans="1:21" ht="33" customHeight="1">
      <c r="A501" s="269" t="s">
        <v>580</v>
      </c>
      <c r="B501" s="513" t="s">
        <v>631</v>
      </c>
      <c r="C501" s="513"/>
      <c r="D501" s="513"/>
      <c r="E501" s="513"/>
      <c r="F501" s="513"/>
      <c r="G501" s="513"/>
      <c r="H501" s="134"/>
      <c r="I501" s="282"/>
      <c r="J501" s="494"/>
      <c r="K501" s="5"/>
      <c r="L501" s="490"/>
    </row>
    <row r="502" spans="1:21" ht="17.25" customHeight="1" thickBot="1">
      <c r="A502" s="345" t="s">
        <v>632</v>
      </c>
      <c r="B502" s="579" t="s">
        <v>1591</v>
      </c>
      <c r="C502" s="579"/>
      <c r="D502" s="579"/>
      <c r="E502" s="579"/>
      <c r="F502" s="579"/>
      <c r="G502" s="579"/>
      <c r="H502" s="134"/>
      <c r="I502" s="279">
        <f>'CSIB_LERA_BIS.MELD'!I22+SUM(I504:I505)</f>
        <v>0</v>
      </c>
      <c r="J502" s="280">
        <v>1069</v>
      </c>
      <c r="K502" s="5"/>
      <c r="L502" s="490"/>
      <c r="N502" s="287" t="s">
        <v>1750</v>
      </c>
    </row>
    <row r="503" spans="1:21" ht="17.25" customHeight="1" thickTop="1">
      <c r="A503" s="345"/>
      <c r="B503" s="580" t="s">
        <v>326</v>
      </c>
      <c r="C503" s="580"/>
      <c r="D503" s="580"/>
      <c r="E503" s="580"/>
      <c r="F503" s="580"/>
      <c r="G503" s="580"/>
      <c r="H503" s="181"/>
      <c r="I503" s="431"/>
      <c r="J503" s="280"/>
      <c r="K503" s="6"/>
      <c r="L503" s="490"/>
      <c r="N503" s="287"/>
      <c r="P503" s="461"/>
    </row>
    <row r="504" spans="1:21" ht="17.25" customHeight="1">
      <c r="A504" s="345" t="s">
        <v>1592</v>
      </c>
      <c r="B504" s="581" t="s">
        <v>1593</v>
      </c>
      <c r="C504" s="568"/>
      <c r="D504" s="568"/>
      <c r="E504" s="568"/>
      <c r="F504" s="568"/>
      <c r="G504" s="568"/>
      <c r="H504" s="208"/>
      <c r="I504" s="186"/>
      <c r="J504" s="280">
        <v>1439</v>
      </c>
      <c r="K504" s="6"/>
      <c r="L504" s="115" t="str">
        <f>IF(I504&gt;=0,"OK","ERROR")</f>
        <v>OK</v>
      </c>
      <c r="N504" s="287"/>
      <c r="P504" s="461"/>
    </row>
    <row r="505" spans="1:21" ht="17.25" customHeight="1">
      <c r="A505" s="345" t="s">
        <v>1594</v>
      </c>
      <c r="B505" s="568" t="s">
        <v>1595</v>
      </c>
      <c r="C505" s="568"/>
      <c r="D505" s="568"/>
      <c r="E505" s="568"/>
      <c r="F505" s="568"/>
      <c r="G505" s="568"/>
      <c r="H505" s="208"/>
      <c r="I505" s="186"/>
      <c r="J505" s="280">
        <v>1440</v>
      </c>
      <c r="K505" s="6"/>
      <c r="L505" s="115" t="str">
        <f>IF(OR(AND(I513="B",I505&lt;=0,COUNTIF(I505:I506,"&lt;0")&lt;2),AND(I513&lt;&gt;"B",ISBLANK(I505))),"OK","ERROR")</f>
        <v>OK</v>
      </c>
      <c r="N505" s="287"/>
      <c r="P505" s="461"/>
    </row>
    <row r="506" spans="1:21" ht="17.100000000000001" customHeight="1">
      <c r="A506" s="345" t="s">
        <v>1596</v>
      </c>
      <c r="B506" s="568" t="s">
        <v>1597</v>
      </c>
      <c r="C506" s="568"/>
      <c r="D506" s="568"/>
      <c r="E506" s="568"/>
      <c r="F506" s="568"/>
      <c r="G506" s="568"/>
      <c r="H506" s="208"/>
      <c r="I506" s="186"/>
      <c r="J506" s="280">
        <v>1441</v>
      </c>
      <c r="K506" s="6"/>
      <c r="L506" s="115" t="str">
        <f>IF(OR(AND(I513="B",I506&lt;=0,COUNTIF(I505:I506,"&lt;0")&lt;2),AND(I513&lt;&gt;"B",ISBLANK(I506))),"OK","ERROR")</f>
        <v>OK</v>
      </c>
      <c r="N506" s="287"/>
      <c r="P506" s="461"/>
    </row>
    <row r="507" spans="1:21" ht="17.25" customHeight="1">
      <c r="A507" s="334" t="s">
        <v>786</v>
      </c>
      <c r="B507" s="573" t="s">
        <v>789</v>
      </c>
      <c r="C507" s="573"/>
      <c r="D507" s="573"/>
      <c r="E507" s="573"/>
      <c r="F507" s="573"/>
      <c r="G507" s="573"/>
      <c r="H507" s="208"/>
      <c r="I507" s="346"/>
      <c r="J507" s="280">
        <v>1336</v>
      </c>
      <c r="K507" s="6"/>
      <c r="L507" s="115" t="str">
        <f>IF(I507&gt;=0,"OK","ERROR")</f>
        <v>OK</v>
      </c>
      <c r="N507" s="344"/>
    </row>
    <row r="508" spans="1:21" ht="40.5" customHeight="1">
      <c r="A508" s="466" t="s">
        <v>787</v>
      </c>
      <c r="B508" s="574" t="s">
        <v>790</v>
      </c>
      <c r="C508" s="574"/>
      <c r="D508" s="574"/>
      <c r="E508" s="574"/>
      <c r="F508" s="574"/>
      <c r="G508" s="574"/>
      <c r="H508" s="208"/>
      <c r="I508" s="335"/>
      <c r="J508" s="280"/>
      <c r="K508" s="6"/>
      <c r="L508" s="490"/>
      <c r="N508" s="344"/>
    </row>
    <row r="509" spans="1:21" ht="17.25" customHeight="1">
      <c r="A509" s="334" t="s">
        <v>788</v>
      </c>
      <c r="B509" s="575" t="s">
        <v>791</v>
      </c>
      <c r="C509" s="575"/>
      <c r="D509" s="575"/>
      <c r="E509" s="575"/>
      <c r="F509" s="575"/>
      <c r="G509" s="575"/>
      <c r="H509" s="208"/>
      <c r="I509" s="397"/>
      <c r="J509" s="280">
        <v>1337</v>
      </c>
      <c r="K509" s="6"/>
      <c r="L509" s="115" t="str">
        <f>IF(I509&gt;=0,"OK","ERROR")</f>
        <v>OK</v>
      </c>
      <c r="N509" s="344"/>
    </row>
    <row r="510" spans="1:21" ht="6" customHeight="1">
      <c r="A510" s="424"/>
      <c r="B510" s="576"/>
      <c r="C510" s="576"/>
      <c r="D510" s="576"/>
      <c r="E510" s="576"/>
      <c r="F510" s="576"/>
      <c r="G510" s="576"/>
      <c r="H510" s="462"/>
      <c r="I510" s="347"/>
      <c r="J510" s="496"/>
      <c r="K510" s="6"/>
      <c r="L510" s="285"/>
      <c r="N510" s="344"/>
    </row>
    <row r="511" spans="1:21" ht="33" customHeight="1">
      <c r="A511" s="348" t="s">
        <v>792</v>
      </c>
      <c r="B511" s="577" t="s">
        <v>801</v>
      </c>
      <c r="C511" s="578"/>
      <c r="D511" s="578"/>
      <c r="E511" s="578"/>
      <c r="F511" s="578"/>
      <c r="G511" s="578"/>
      <c r="H511" s="181"/>
      <c r="I511" s="335"/>
      <c r="J511" s="280"/>
      <c r="K511" s="6"/>
      <c r="L511" s="490"/>
      <c r="N511" s="344"/>
      <c r="O511" s="295"/>
      <c r="P511" s="295"/>
      <c r="Q511" s="295"/>
      <c r="R511" s="295"/>
      <c r="S511" s="295"/>
      <c r="T511" s="295"/>
      <c r="U511" s="295"/>
    </row>
    <row r="512" spans="1:21" ht="33" customHeight="1">
      <c r="A512" s="349" t="s">
        <v>1344</v>
      </c>
      <c r="B512" s="571" t="s">
        <v>1345</v>
      </c>
      <c r="C512" s="571"/>
      <c r="D512" s="571"/>
      <c r="E512" s="571"/>
      <c r="F512" s="571"/>
      <c r="G512" s="571"/>
      <c r="H512" s="181"/>
      <c r="I512" s="445"/>
      <c r="J512" s="280">
        <v>1338</v>
      </c>
      <c r="K512" s="5"/>
      <c r="L512" s="115" t="str">
        <f>IF(ISBLANK(I512),"ERROR",IF(OR(I512=1,I512=2),"OK","ERROR"))</f>
        <v>ERROR</v>
      </c>
      <c r="N512" s="344"/>
      <c r="O512" s="295"/>
      <c r="P512" s="295"/>
      <c r="Q512" s="295"/>
      <c r="R512" s="295"/>
      <c r="S512" s="295"/>
      <c r="T512" s="295"/>
      <c r="U512" s="295"/>
    </row>
    <row r="513" spans="1:21" ht="33" customHeight="1">
      <c r="A513" s="349" t="s">
        <v>1754</v>
      </c>
      <c r="B513" s="571" t="s">
        <v>1755</v>
      </c>
      <c r="C513" s="571"/>
      <c r="D513" s="571"/>
      <c r="E513" s="571"/>
      <c r="F513" s="571"/>
      <c r="G513" s="571"/>
      <c r="H513" s="181"/>
      <c r="I513" s="446"/>
      <c r="J513" s="280">
        <v>1385</v>
      </c>
      <c r="K513" s="6"/>
      <c r="L513" s="115" t="str">
        <f>IF(AND(I512=2,ISBLANK(I513)),"OK",IF(AND(I512=1,OR(I513="A",I513="B",I513="C")),"OK","ERROR"))</f>
        <v>ERROR</v>
      </c>
      <c r="N513" s="344"/>
      <c r="O513" s="295"/>
      <c r="P513" s="295"/>
      <c r="Q513" s="295"/>
      <c r="R513" s="295"/>
      <c r="S513" s="295"/>
      <c r="T513" s="295"/>
      <c r="U513" s="295"/>
    </row>
    <row r="514" spans="1:21" ht="33" customHeight="1">
      <c r="A514" s="349" t="s">
        <v>1346</v>
      </c>
      <c r="B514" s="572" t="s">
        <v>1347</v>
      </c>
      <c r="C514" s="572"/>
      <c r="D514" s="572"/>
      <c r="E514" s="572"/>
      <c r="F514" s="572"/>
      <c r="G514" s="572"/>
      <c r="H514" s="181"/>
      <c r="I514" s="447"/>
      <c r="J514" s="280"/>
      <c r="K514" s="490"/>
      <c r="L514" s="344"/>
      <c r="M514" s="344"/>
      <c r="N514" s="344"/>
      <c r="O514" s="295"/>
      <c r="P514" s="295"/>
      <c r="Q514" s="295"/>
      <c r="R514" s="295"/>
      <c r="S514" s="295"/>
      <c r="T514" s="295"/>
      <c r="U514" s="295"/>
    </row>
    <row r="515" spans="1:21" ht="17.25" customHeight="1">
      <c r="A515" s="448" t="s">
        <v>1348</v>
      </c>
      <c r="B515" s="568" t="s">
        <v>1120</v>
      </c>
      <c r="C515" s="568"/>
      <c r="D515" s="568"/>
      <c r="E515" s="568"/>
      <c r="F515" s="568"/>
      <c r="G515" s="568"/>
      <c r="H515" s="181"/>
      <c r="I515" s="467"/>
      <c r="J515" s="280">
        <v>1339</v>
      </c>
      <c r="K515" s="6"/>
      <c r="L515" s="115" t="str">
        <f>IF(ISBLANK(I515),"ERROR",IF(I515&gt;=0,"OK","ERROR"))</f>
        <v>ERROR</v>
      </c>
      <c r="N515" s="344"/>
      <c r="O515" s="295"/>
      <c r="P515" s="295"/>
      <c r="Q515" s="295"/>
      <c r="R515" s="295"/>
      <c r="S515" s="295"/>
      <c r="T515" s="295"/>
      <c r="U515" s="295"/>
    </row>
    <row r="516" spans="1:21" ht="17.25" customHeight="1">
      <c r="A516" s="448" t="s">
        <v>1349</v>
      </c>
      <c r="B516" s="568" t="s">
        <v>1121</v>
      </c>
      <c r="C516" s="568"/>
      <c r="D516" s="568"/>
      <c r="E516" s="568"/>
      <c r="F516" s="568"/>
      <c r="G516" s="568"/>
      <c r="H516" s="181"/>
      <c r="I516" s="467"/>
      <c r="J516" s="280">
        <v>1340</v>
      </c>
      <c r="K516" s="6"/>
      <c r="L516" s="115" t="str">
        <f t="shared" ref="L516:L519" si="28">IF(ISBLANK(I516),"ERROR",IF(I516&gt;=0,"OK","ERROR"))</f>
        <v>ERROR</v>
      </c>
      <c r="N516" s="344"/>
      <c r="O516" s="295"/>
      <c r="P516" s="295"/>
      <c r="Q516" s="295"/>
      <c r="R516" s="295"/>
      <c r="S516" s="295"/>
      <c r="T516" s="295"/>
      <c r="U516" s="295"/>
    </row>
    <row r="517" spans="1:21" ht="33" customHeight="1">
      <c r="A517" s="349" t="s">
        <v>1350</v>
      </c>
      <c r="B517" s="572" t="s">
        <v>1351</v>
      </c>
      <c r="C517" s="572"/>
      <c r="D517" s="572"/>
      <c r="E517" s="572"/>
      <c r="F517" s="572"/>
      <c r="G517" s="572"/>
      <c r="H517" s="181"/>
      <c r="I517" s="447"/>
      <c r="J517" s="280"/>
      <c r="K517" s="490"/>
      <c r="L517" s="344"/>
      <c r="M517" s="344"/>
      <c r="N517" s="344"/>
      <c r="O517" s="295"/>
      <c r="P517" s="295"/>
      <c r="Q517" s="295"/>
      <c r="R517" s="295"/>
      <c r="S517" s="295"/>
      <c r="T517" s="295"/>
      <c r="U517" s="295"/>
    </row>
    <row r="518" spans="1:21" ht="17.25" customHeight="1">
      <c r="A518" s="448" t="s">
        <v>1352</v>
      </c>
      <c r="B518" s="568" t="s">
        <v>1120</v>
      </c>
      <c r="C518" s="568"/>
      <c r="D518" s="568"/>
      <c r="E518" s="568"/>
      <c r="F518" s="568"/>
      <c r="G518" s="568"/>
      <c r="H518" s="181"/>
      <c r="I518" s="467"/>
      <c r="J518" s="280">
        <v>1341</v>
      </c>
      <c r="K518" s="6"/>
      <c r="L518" s="115" t="str">
        <f t="shared" si="28"/>
        <v>ERROR</v>
      </c>
      <c r="N518" s="344"/>
      <c r="O518" s="295"/>
      <c r="P518" s="295"/>
      <c r="Q518" s="295"/>
      <c r="R518" s="295"/>
      <c r="S518" s="295"/>
      <c r="T518" s="295"/>
      <c r="U518" s="295"/>
    </row>
    <row r="519" spans="1:21" ht="17.25" customHeight="1">
      <c r="A519" s="448" t="s">
        <v>1353</v>
      </c>
      <c r="B519" s="568" t="s">
        <v>1121</v>
      </c>
      <c r="C519" s="568"/>
      <c r="D519" s="568"/>
      <c r="E519" s="568"/>
      <c r="F519" s="568"/>
      <c r="G519" s="568"/>
      <c r="H519" s="181"/>
      <c r="I519" s="467"/>
      <c r="J519" s="280">
        <v>1342</v>
      </c>
      <c r="K519" s="6"/>
      <c r="L519" s="115" t="str">
        <f t="shared" si="28"/>
        <v>ERROR</v>
      </c>
      <c r="N519" s="344"/>
      <c r="O519" s="295"/>
      <c r="P519" s="295"/>
      <c r="Q519" s="295"/>
      <c r="R519" s="295"/>
      <c r="S519" s="295"/>
      <c r="T519" s="295"/>
      <c r="U519" s="295"/>
    </row>
    <row r="520" spans="1:21" ht="33" customHeight="1">
      <c r="A520" s="349" t="s">
        <v>793</v>
      </c>
      <c r="B520" s="562" t="s">
        <v>802</v>
      </c>
      <c r="C520" s="562"/>
      <c r="D520" s="562"/>
      <c r="E520" s="562"/>
      <c r="F520" s="562"/>
      <c r="G520" s="562"/>
      <c r="H520" s="181"/>
      <c r="I520" s="335"/>
      <c r="J520" s="280"/>
      <c r="K520" s="6"/>
      <c r="L520" s="490"/>
      <c r="N520" s="344"/>
      <c r="O520" s="295"/>
      <c r="P520" s="295"/>
      <c r="Q520" s="295"/>
      <c r="R520" s="295"/>
      <c r="S520" s="295"/>
      <c r="T520" s="295"/>
      <c r="U520" s="295"/>
    </row>
    <row r="521" spans="1:21" ht="33" customHeight="1">
      <c r="A521" s="395" t="s">
        <v>581</v>
      </c>
      <c r="B521" s="569" t="s">
        <v>804</v>
      </c>
      <c r="C521" s="569"/>
      <c r="D521" s="569"/>
      <c r="E521" s="569"/>
      <c r="F521" s="569"/>
      <c r="G521" s="569"/>
      <c r="H521" s="181"/>
      <c r="I521" s="371" t="e">
        <f>I530</f>
        <v>#VALUE!</v>
      </c>
      <c r="J521" s="493"/>
      <c r="K521" s="5"/>
      <c r="L521" s="285"/>
      <c r="M521" s="228"/>
      <c r="N521" s="350"/>
      <c r="O521" s="295"/>
      <c r="P521" s="295"/>
      <c r="Q521" s="295"/>
      <c r="R521" s="295"/>
      <c r="S521" s="295"/>
      <c r="T521" s="295"/>
      <c r="U521" s="295"/>
    </row>
    <row r="522" spans="1:21" ht="17.25" customHeight="1">
      <c r="A522" s="396" t="s">
        <v>794</v>
      </c>
      <c r="B522" s="570" t="s">
        <v>1119</v>
      </c>
      <c r="C522" s="570"/>
      <c r="D522" s="570"/>
      <c r="E522" s="570"/>
      <c r="F522" s="570"/>
      <c r="G522" s="570"/>
      <c r="H522" s="181"/>
      <c r="I522" s="371" t="e">
        <f>IF(YEAR(I3)=2016,10.75%,IF(YEAR(I3)=2017,12%,IF(YEAR(I3)=2018,12.86%,IF(YEAR(I3)=2019,12.86%,IF(YEAR(I3)&gt;=2020,12.86%)))))</f>
        <v>#VALUE!</v>
      </c>
      <c r="J522" s="493"/>
      <c r="K522" s="351"/>
      <c r="L522" s="285"/>
      <c r="M522" s="228"/>
      <c r="N522" s="350"/>
      <c r="O522" s="295"/>
      <c r="P522" s="295"/>
      <c r="Q522" s="295"/>
      <c r="R522" s="295"/>
      <c r="S522" s="295"/>
      <c r="T522" s="295"/>
      <c r="U522" s="295"/>
    </row>
    <row r="523" spans="1:21" ht="17.25" customHeight="1">
      <c r="A523" s="396" t="s">
        <v>795</v>
      </c>
      <c r="B523" s="551" t="s">
        <v>1120</v>
      </c>
      <c r="C523" s="551"/>
      <c r="D523" s="551"/>
      <c r="E523" s="551"/>
      <c r="F523" s="551"/>
      <c r="G523" s="551"/>
      <c r="H523" s="181"/>
      <c r="I523" s="371" t="e">
        <f>IF(YEAR(I3)&lt;2019,0%,IF(YEAR(I3)=2019,0.5*I515,IF(YEAR(I3)&gt;=2020,I515)))</f>
        <v>#VALUE!</v>
      </c>
      <c r="J523" s="493"/>
      <c r="K523" s="351"/>
      <c r="L523" s="285"/>
      <c r="M523" s="228"/>
      <c r="N523" s="228"/>
      <c r="O523" s="295"/>
      <c r="P523" s="295"/>
      <c r="Q523" s="295"/>
      <c r="R523" s="295"/>
      <c r="S523" s="295"/>
      <c r="T523" s="295"/>
      <c r="U523" s="295"/>
    </row>
    <row r="524" spans="1:21" ht="17.25" customHeight="1">
      <c r="A524" s="396" t="s">
        <v>796</v>
      </c>
      <c r="B524" s="551" t="s">
        <v>1121</v>
      </c>
      <c r="C524" s="551"/>
      <c r="D524" s="551"/>
      <c r="E524" s="551"/>
      <c r="F524" s="551"/>
      <c r="G524" s="551"/>
      <c r="H524" s="181"/>
      <c r="I524" s="371" t="e">
        <f>IF(YEAR(I3)&lt;2019,0%,IF(YEAR(I3)=2019,0.5*I516,IF(YEAR(I3)&gt;=2020,I516)))</f>
        <v>#VALUE!</v>
      </c>
      <c r="J524" s="493"/>
      <c r="K524" s="351"/>
      <c r="L524" s="285"/>
      <c r="M524" s="228"/>
      <c r="N524" s="228"/>
      <c r="O524" s="295"/>
      <c r="P524" s="295"/>
      <c r="Q524" s="295"/>
      <c r="R524" s="295"/>
      <c r="S524" s="295"/>
      <c r="T524" s="295"/>
      <c r="U524" s="295"/>
    </row>
    <row r="525" spans="1:21" ht="17.25" customHeight="1">
      <c r="A525" s="396" t="s">
        <v>797</v>
      </c>
      <c r="B525" s="551" t="s">
        <v>1122</v>
      </c>
      <c r="C525" s="551"/>
      <c r="D525" s="551"/>
      <c r="E525" s="551"/>
      <c r="F525" s="551"/>
      <c r="G525" s="551"/>
      <c r="H525" s="181"/>
      <c r="I525" s="371" t="e">
        <f>SUM(I522:I524)</f>
        <v>#VALUE!</v>
      </c>
      <c r="J525" s="493"/>
      <c r="K525" s="351"/>
      <c r="L525" s="350"/>
      <c r="M525" s="228"/>
      <c r="N525" s="350"/>
      <c r="O525" s="295"/>
      <c r="P525" s="295"/>
      <c r="Q525" s="295"/>
      <c r="R525" s="295"/>
      <c r="S525" s="295"/>
      <c r="T525" s="295"/>
      <c r="U525" s="295"/>
    </row>
    <row r="526" spans="1:21" ht="17.25" customHeight="1">
      <c r="A526" s="396" t="s">
        <v>798</v>
      </c>
      <c r="B526" s="542" t="s">
        <v>1123</v>
      </c>
      <c r="C526" s="542"/>
      <c r="D526" s="542"/>
      <c r="E526" s="542"/>
      <c r="F526" s="542"/>
      <c r="G526" s="542"/>
      <c r="H526" s="181"/>
      <c r="I526" s="371">
        <f>8%</f>
        <v>0.08</v>
      </c>
      <c r="J526" s="493"/>
      <c r="K526" s="351"/>
      <c r="L526" s="350"/>
      <c r="M526" s="228"/>
      <c r="N526" s="228"/>
      <c r="O526" s="295"/>
      <c r="P526" s="295"/>
      <c r="Q526" s="295"/>
      <c r="R526" s="295"/>
      <c r="S526" s="295"/>
      <c r="T526" s="295"/>
      <c r="U526" s="295"/>
    </row>
    <row r="527" spans="1:21" ht="17.25" customHeight="1">
      <c r="A527" s="396" t="s">
        <v>799</v>
      </c>
      <c r="B527" s="542" t="s">
        <v>1124</v>
      </c>
      <c r="C527" s="542"/>
      <c r="D527" s="542"/>
      <c r="E527" s="542"/>
      <c r="F527" s="542"/>
      <c r="G527" s="542"/>
      <c r="H527" s="181"/>
      <c r="I527" s="371" t="e">
        <f>I525-I526</f>
        <v>#VALUE!</v>
      </c>
      <c r="J527" s="493"/>
      <c r="K527" s="351"/>
      <c r="L527" s="350"/>
      <c r="M527" s="228"/>
      <c r="N527" s="350"/>
      <c r="O527" s="295"/>
      <c r="P527" s="295"/>
      <c r="Q527" s="295"/>
      <c r="R527" s="295"/>
      <c r="S527" s="295"/>
      <c r="T527" s="295"/>
      <c r="U527" s="295"/>
    </row>
    <row r="528" spans="1:21" ht="17.25" customHeight="1">
      <c r="A528" s="396" t="s">
        <v>800</v>
      </c>
      <c r="B528" s="542" t="s">
        <v>1125</v>
      </c>
      <c r="C528" s="542"/>
      <c r="D528" s="542"/>
      <c r="E528" s="542"/>
      <c r="F528" s="542"/>
      <c r="G528" s="542"/>
      <c r="H528" s="181"/>
      <c r="I528" s="371" t="e">
        <f>I525-I529</f>
        <v>#VALUE!</v>
      </c>
      <c r="J528" s="493"/>
      <c r="K528" s="351"/>
      <c r="L528" s="350"/>
      <c r="M528" s="228"/>
      <c r="N528" s="350"/>
      <c r="O528" s="295"/>
      <c r="P528" s="295"/>
      <c r="Q528" s="295"/>
      <c r="R528" s="295"/>
      <c r="S528" s="295"/>
      <c r="T528" s="295"/>
      <c r="U528" s="295"/>
    </row>
    <row r="529" spans="1:21" ht="17.25" customHeight="1">
      <c r="A529" s="396" t="s">
        <v>803</v>
      </c>
      <c r="B529" s="542" t="s">
        <v>1126</v>
      </c>
      <c r="C529" s="542"/>
      <c r="D529" s="542"/>
      <c r="E529" s="542"/>
      <c r="F529" s="542"/>
      <c r="G529" s="542"/>
      <c r="H529" s="181"/>
      <c r="I529" s="371" t="e">
        <f>IF(YEAR(I3)=2016,2.625%,IF(YEAR(I3)=2017,3%,IF(YEAR(I3)=2018,3.4%,IF(YEAR(I3)=2019,3.9%,IF(YEAR(I3)&gt;=2020,4.3%)))))</f>
        <v>#VALUE!</v>
      </c>
      <c r="J529" s="493"/>
      <c r="K529" s="351"/>
      <c r="L529" s="350"/>
      <c r="N529" s="490"/>
      <c r="O529" s="490"/>
      <c r="P529" s="295"/>
      <c r="Q529" s="295"/>
      <c r="R529" s="295"/>
      <c r="S529" s="295"/>
      <c r="T529" s="295"/>
      <c r="U529" s="295"/>
    </row>
    <row r="530" spans="1:21" ht="17.25" customHeight="1">
      <c r="A530" s="396" t="s">
        <v>805</v>
      </c>
      <c r="B530" s="551" t="s">
        <v>1127</v>
      </c>
      <c r="C530" s="551"/>
      <c r="D530" s="551"/>
      <c r="E530" s="551"/>
      <c r="F530" s="551"/>
      <c r="G530" s="551"/>
      <c r="H530" s="181"/>
      <c r="I530" s="371" t="e">
        <f>SUM(I531,I538:I540)</f>
        <v>#VALUE!</v>
      </c>
      <c r="J530" s="493"/>
      <c r="K530" s="351"/>
      <c r="L530" s="350"/>
      <c r="M530" s="228"/>
      <c r="N530" s="350"/>
      <c r="O530" s="295"/>
      <c r="P530" s="295"/>
      <c r="Q530" s="295"/>
      <c r="R530" s="295"/>
      <c r="S530" s="295"/>
      <c r="T530" s="295"/>
      <c r="U530" s="295"/>
    </row>
    <row r="531" spans="1:21" ht="17.25" customHeight="1">
      <c r="A531" s="396" t="s">
        <v>806</v>
      </c>
      <c r="B531" s="542" t="s">
        <v>1650</v>
      </c>
      <c r="C531" s="542"/>
      <c r="D531" s="542"/>
      <c r="E531" s="542"/>
      <c r="F531" s="542"/>
      <c r="G531" s="542"/>
      <c r="H531" s="181"/>
      <c r="I531" s="371" t="e">
        <f>I525</f>
        <v>#VALUE!</v>
      </c>
      <c r="J531" s="493"/>
      <c r="K531" s="351"/>
      <c r="L531" s="350"/>
      <c r="M531" s="228"/>
      <c r="N531" s="350"/>
      <c r="O531" s="295"/>
      <c r="P531" s="295"/>
      <c r="Q531" s="295"/>
      <c r="R531" s="295"/>
      <c r="S531" s="295"/>
      <c r="T531" s="295"/>
      <c r="U531" s="295"/>
    </row>
    <row r="532" spans="1:21" ht="17.25" customHeight="1">
      <c r="A532" s="396" t="s">
        <v>807</v>
      </c>
      <c r="B532" s="546" t="s">
        <v>1123</v>
      </c>
      <c r="C532" s="546"/>
      <c r="D532" s="546"/>
      <c r="E532" s="546"/>
      <c r="F532" s="546"/>
      <c r="G532" s="546"/>
      <c r="H532" s="181"/>
      <c r="I532" s="371">
        <f>8%</f>
        <v>0.08</v>
      </c>
      <c r="J532" s="493"/>
      <c r="K532" s="351"/>
      <c r="L532" s="350"/>
      <c r="M532" s="350"/>
      <c r="N532" s="350"/>
      <c r="O532" s="295"/>
      <c r="P532" s="295"/>
      <c r="Q532" s="295"/>
      <c r="R532" s="295"/>
      <c r="S532" s="295"/>
      <c r="T532" s="295"/>
      <c r="U532" s="295"/>
    </row>
    <row r="533" spans="1:21" ht="17.25" customHeight="1">
      <c r="A533" s="396" t="s">
        <v>808</v>
      </c>
      <c r="B533" s="566" t="s">
        <v>1125</v>
      </c>
      <c r="C533" s="566"/>
      <c r="D533" s="566"/>
      <c r="E533" s="566"/>
      <c r="F533" s="566"/>
      <c r="G533" s="566"/>
      <c r="H533" s="181"/>
      <c r="I533" s="371" t="e">
        <f>I532-I534</f>
        <v>#VALUE!</v>
      </c>
      <c r="J533" s="493"/>
      <c r="K533" s="351"/>
      <c r="L533" s="350"/>
      <c r="M533" s="350"/>
      <c r="N533" s="350"/>
      <c r="O533" s="295"/>
      <c r="P533" s="295"/>
      <c r="Q533" s="295"/>
      <c r="R533" s="295"/>
      <c r="S533" s="295"/>
      <c r="T533" s="295"/>
      <c r="U533" s="295"/>
    </row>
    <row r="534" spans="1:21" ht="17.25" customHeight="1">
      <c r="A534" s="396" t="s">
        <v>809</v>
      </c>
      <c r="B534" s="566" t="s">
        <v>1126</v>
      </c>
      <c r="C534" s="566"/>
      <c r="D534" s="566"/>
      <c r="E534" s="566"/>
      <c r="F534" s="566"/>
      <c r="G534" s="566"/>
      <c r="H534" s="181"/>
      <c r="I534" s="371" t="e">
        <f>IF(YEAR(I3)=2016,2.625%,IF(YEAR(I3)=2017,3%,IF(YEAR(I3)=2018,3.4%,IF(YEAR(I3)=2019,3.9%,IF(YEAR(I3)&gt;=2020,4.3%)))))-0.8%</f>
        <v>#VALUE!</v>
      </c>
      <c r="J534" s="493"/>
      <c r="K534" s="351"/>
      <c r="L534" s="350"/>
      <c r="M534" s="350"/>
      <c r="N534" s="350"/>
      <c r="O534" s="295"/>
      <c r="P534" s="295"/>
      <c r="Q534" s="295"/>
      <c r="R534" s="295"/>
      <c r="S534" s="295"/>
      <c r="T534" s="295"/>
      <c r="U534" s="295"/>
    </row>
    <row r="535" spans="1:21" ht="17.25" customHeight="1">
      <c r="A535" s="396" t="s">
        <v>810</v>
      </c>
      <c r="B535" s="546" t="s">
        <v>1124</v>
      </c>
      <c r="C535" s="546"/>
      <c r="D535" s="546"/>
      <c r="E535" s="546"/>
      <c r="F535" s="546"/>
      <c r="G535" s="546"/>
      <c r="H535" s="181"/>
      <c r="I535" s="371" t="e">
        <f>I531-I532</f>
        <v>#VALUE!</v>
      </c>
      <c r="J535" s="493"/>
      <c r="K535" s="351"/>
      <c r="L535" s="350"/>
      <c r="M535" s="350"/>
      <c r="N535" s="350"/>
      <c r="O535" s="295"/>
      <c r="P535" s="295"/>
      <c r="Q535" s="295"/>
      <c r="R535" s="295"/>
      <c r="S535" s="295"/>
      <c r="T535" s="295"/>
      <c r="U535" s="295"/>
    </row>
    <row r="536" spans="1:21" ht="17.25" customHeight="1">
      <c r="A536" s="396" t="s">
        <v>811</v>
      </c>
      <c r="B536" s="566" t="s">
        <v>1125</v>
      </c>
      <c r="C536" s="566"/>
      <c r="D536" s="566"/>
      <c r="E536" s="566"/>
      <c r="F536" s="566"/>
      <c r="G536" s="566"/>
      <c r="H536" s="181"/>
      <c r="I536" s="371" t="e">
        <f>I535-I537</f>
        <v>#VALUE!</v>
      </c>
      <c r="J536" s="493"/>
      <c r="K536" s="351"/>
      <c r="L536" s="350"/>
      <c r="M536" s="350"/>
      <c r="N536" s="350"/>
      <c r="O536" s="295"/>
      <c r="P536" s="295"/>
      <c r="Q536" s="295"/>
      <c r="R536" s="295"/>
      <c r="S536" s="295"/>
      <c r="T536" s="295"/>
      <c r="U536" s="295"/>
    </row>
    <row r="537" spans="1:21" ht="17.25" customHeight="1">
      <c r="A537" s="396" t="s">
        <v>812</v>
      </c>
      <c r="B537" s="566" t="s">
        <v>1126</v>
      </c>
      <c r="C537" s="566"/>
      <c r="D537" s="566"/>
      <c r="E537" s="566"/>
      <c r="F537" s="566"/>
      <c r="G537" s="566"/>
      <c r="H537" s="181"/>
      <c r="I537" s="371">
        <f>0.8%</f>
        <v>8.0000000000000002E-3</v>
      </c>
      <c r="J537" s="493"/>
      <c r="K537" s="351"/>
      <c r="L537" s="350"/>
      <c r="M537" s="350"/>
      <c r="N537" s="350"/>
      <c r="O537" s="295"/>
      <c r="P537" s="295"/>
      <c r="Q537" s="295"/>
      <c r="R537" s="295"/>
      <c r="S537" s="295"/>
      <c r="T537" s="295"/>
      <c r="U537" s="295"/>
    </row>
    <row r="538" spans="1:21" ht="17.25" customHeight="1">
      <c r="A538" s="396" t="s">
        <v>813</v>
      </c>
      <c r="B538" s="542" t="s">
        <v>1651</v>
      </c>
      <c r="C538" s="542"/>
      <c r="D538" s="542"/>
      <c r="E538" s="542"/>
      <c r="F538" s="542"/>
      <c r="G538" s="542"/>
      <c r="H538" s="181"/>
      <c r="I538" s="371">
        <f>IF(OR(I389="",I389=0),0,I594/(12.5*I389))</f>
        <v>0</v>
      </c>
      <c r="J538" s="493"/>
      <c r="K538" s="351"/>
      <c r="L538" s="350"/>
      <c r="M538" s="350"/>
      <c r="N538" s="350"/>
      <c r="O538" s="295"/>
      <c r="P538" s="295"/>
      <c r="Q538" s="295"/>
      <c r="R538" s="295"/>
      <c r="S538" s="295"/>
      <c r="T538" s="295"/>
      <c r="U538" s="295"/>
    </row>
    <row r="539" spans="1:21" ht="17.25" customHeight="1">
      <c r="A539" s="396" t="s">
        <v>814</v>
      </c>
      <c r="B539" s="542" t="s">
        <v>1652</v>
      </c>
      <c r="C539" s="542"/>
      <c r="D539" s="542"/>
      <c r="E539" s="542"/>
      <c r="F539" s="542"/>
      <c r="G539" s="542"/>
      <c r="H539" s="181"/>
      <c r="I539" s="371">
        <f>IF(OR(I389="",I389=0),0,I602/(12.5*I389))</f>
        <v>0</v>
      </c>
      <c r="J539" s="493"/>
      <c r="K539" s="351"/>
      <c r="L539" s="350"/>
      <c r="M539" s="350"/>
      <c r="N539" s="350"/>
      <c r="O539" s="295"/>
      <c r="P539" s="295"/>
      <c r="Q539" s="295"/>
      <c r="R539" s="295"/>
      <c r="S539" s="295"/>
      <c r="T539" s="295"/>
      <c r="U539" s="295"/>
    </row>
    <row r="540" spans="1:21" ht="17.25" customHeight="1">
      <c r="A540" s="396" t="s">
        <v>815</v>
      </c>
      <c r="B540" s="542" t="s">
        <v>1653</v>
      </c>
      <c r="C540" s="542"/>
      <c r="D540" s="542"/>
      <c r="E540" s="542"/>
      <c r="F540" s="542"/>
      <c r="G540" s="542"/>
      <c r="H540" s="181"/>
      <c r="I540" s="371">
        <f>IF(OR(I389="",I389=0),0,I606/(12.5*I389))</f>
        <v>0</v>
      </c>
      <c r="J540" s="493"/>
      <c r="K540" s="351"/>
      <c r="L540" s="350"/>
      <c r="M540" s="350"/>
      <c r="N540" s="350"/>
      <c r="O540" s="295"/>
      <c r="P540" s="295"/>
      <c r="Q540" s="295"/>
      <c r="R540" s="295"/>
      <c r="S540" s="295"/>
      <c r="T540" s="295"/>
      <c r="U540" s="295"/>
    </row>
    <row r="541" spans="1:21" ht="17.25" customHeight="1">
      <c r="A541" s="396" t="s">
        <v>816</v>
      </c>
      <c r="B541" s="567" t="s">
        <v>1129</v>
      </c>
      <c r="C541" s="567"/>
      <c r="D541" s="567"/>
      <c r="E541" s="567"/>
      <c r="F541" s="567"/>
      <c r="G541" s="567"/>
      <c r="H541" s="181"/>
      <c r="I541" s="371">
        <f>IF(OR(I389="",I389=0),0,I607/(12.5*I389))</f>
        <v>0</v>
      </c>
      <c r="J541" s="493"/>
      <c r="K541" s="351"/>
      <c r="L541" s="350"/>
      <c r="M541" s="350"/>
      <c r="N541" s="350"/>
      <c r="O541" s="295"/>
      <c r="P541" s="295"/>
      <c r="Q541" s="295"/>
      <c r="R541" s="295"/>
      <c r="S541" s="295"/>
      <c r="T541" s="295"/>
      <c r="U541" s="295"/>
    </row>
    <row r="542" spans="1:21" ht="17.25" customHeight="1">
      <c r="A542" s="396" t="s">
        <v>817</v>
      </c>
      <c r="B542" s="567" t="s">
        <v>1130</v>
      </c>
      <c r="C542" s="567"/>
      <c r="D542" s="567"/>
      <c r="E542" s="567"/>
      <c r="F542" s="567"/>
      <c r="G542" s="567"/>
      <c r="H542" s="181"/>
      <c r="I542" s="371">
        <f>IF(OR(I389="",I389=0),0,I608/(12.5*I389))</f>
        <v>0</v>
      </c>
      <c r="J542" s="493"/>
      <c r="K542" s="351"/>
      <c r="L542" s="350"/>
      <c r="M542" s="350"/>
      <c r="N542" s="350"/>
      <c r="O542" s="295"/>
      <c r="P542" s="295"/>
      <c r="Q542" s="295"/>
      <c r="R542" s="295"/>
      <c r="S542" s="295"/>
      <c r="T542" s="295"/>
      <c r="U542" s="295"/>
    </row>
    <row r="543" spans="1:21" ht="33" customHeight="1">
      <c r="A543" s="395" t="s">
        <v>582</v>
      </c>
      <c r="B543" s="553" t="s">
        <v>841</v>
      </c>
      <c r="C543" s="553"/>
      <c r="D543" s="553"/>
      <c r="E543" s="553"/>
      <c r="F543" s="553"/>
      <c r="G543" s="553"/>
      <c r="H543" s="181"/>
      <c r="I543" s="371" t="e">
        <f>I547</f>
        <v>#VALUE!</v>
      </c>
      <c r="J543" s="493"/>
      <c r="K543" s="351"/>
      <c r="L543" s="350"/>
      <c r="M543" s="350"/>
      <c r="N543" s="350"/>
      <c r="O543" s="295"/>
      <c r="P543" s="295"/>
      <c r="Q543" s="295"/>
      <c r="R543" s="295"/>
      <c r="S543" s="295"/>
      <c r="T543" s="295"/>
      <c r="U543" s="295"/>
    </row>
    <row r="544" spans="1:21" ht="17.25" customHeight="1">
      <c r="A544" s="396" t="s">
        <v>818</v>
      </c>
      <c r="B544" s="565" t="s">
        <v>1119</v>
      </c>
      <c r="C544" s="565"/>
      <c r="D544" s="565"/>
      <c r="E544" s="565"/>
      <c r="F544" s="565"/>
      <c r="G544" s="565"/>
      <c r="H544" s="181"/>
      <c r="I544" s="371" t="e">
        <f>IF(YEAR(I3)=2016,3%,IF(YEAR(I3)=2017,3.5%,IF(YEAR(I3)=2018,4%,IF(YEAR(I3)=2019,4.5%,IF(YEAR(I3)&gt;=2020,4.5%)))))</f>
        <v>#VALUE!</v>
      </c>
      <c r="J544" s="493"/>
      <c r="K544" s="351"/>
      <c r="L544" s="350"/>
      <c r="M544" s="350"/>
      <c r="N544" s="350"/>
      <c r="O544" s="295"/>
      <c r="P544" s="295"/>
      <c r="Q544" s="295"/>
      <c r="R544" s="295"/>
      <c r="S544" s="295"/>
      <c r="T544" s="295"/>
      <c r="U544" s="295"/>
    </row>
    <row r="545" spans="1:21" ht="17.25" customHeight="1">
      <c r="A545" s="396" t="s">
        <v>819</v>
      </c>
      <c r="B545" s="551" t="s">
        <v>1120</v>
      </c>
      <c r="C545" s="551"/>
      <c r="D545" s="551"/>
      <c r="E545" s="551"/>
      <c r="F545" s="551"/>
      <c r="G545" s="551"/>
      <c r="H545" s="181"/>
      <c r="I545" s="371" t="e">
        <f>IF(YEAR(I3)&lt;2020,0%,IF(YEAR(I3)&gt;=2020,I518))</f>
        <v>#VALUE!</v>
      </c>
      <c r="J545" s="493"/>
      <c r="K545" s="351"/>
      <c r="L545" s="350"/>
      <c r="M545" s="350"/>
      <c r="N545" s="350"/>
      <c r="O545" s="295"/>
      <c r="P545" s="295"/>
      <c r="Q545" s="295"/>
      <c r="R545" s="295"/>
      <c r="S545" s="295"/>
      <c r="T545" s="295"/>
      <c r="U545" s="295"/>
    </row>
    <row r="546" spans="1:21" ht="17.25" customHeight="1">
      <c r="A546" s="396" t="s">
        <v>820</v>
      </c>
      <c r="B546" s="551" t="s">
        <v>1121</v>
      </c>
      <c r="C546" s="551"/>
      <c r="D546" s="551"/>
      <c r="E546" s="551"/>
      <c r="F546" s="551"/>
      <c r="G546" s="551"/>
      <c r="H546" s="181"/>
      <c r="I546" s="371" t="e">
        <f>IF(YEAR(I3)&lt;2020,0%,IF(YEAR(I3)&gt;=2020,I519))</f>
        <v>#VALUE!</v>
      </c>
      <c r="J546" s="493"/>
      <c r="K546" s="351"/>
      <c r="L546" s="350"/>
      <c r="M546" s="350"/>
      <c r="N546" s="350"/>
      <c r="O546" s="295"/>
      <c r="P546" s="295"/>
      <c r="Q546" s="295"/>
      <c r="R546" s="295"/>
      <c r="S546" s="295"/>
      <c r="T546" s="295"/>
      <c r="U546" s="295"/>
    </row>
    <row r="547" spans="1:21" ht="17.25" customHeight="1">
      <c r="A547" s="396" t="s">
        <v>821</v>
      </c>
      <c r="B547" s="551" t="s">
        <v>1127</v>
      </c>
      <c r="C547" s="551"/>
      <c r="D547" s="551"/>
      <c r="E547" s="551"/>
      <c r="F547" s="551"/>
      <c r="G547" s="551"/>
      <c r="H547" s="181"/>
      <c r="I547" s="371" t="e">
        <f>SUM(I544:I546)</f>
        <v>#VALUE!</v>
      </c>
      <c r="J547" s="493"/>
      <c r="K547" s="351"/>
      <c r="L547" s="350"/>
      <c r="M547" s="350"/>
      <c r="N547" s="350"/>
      <c r="O547" s="295"/>
      <c r="P547" s="295"/>
      <c r="Q547" s="295"/>
      <c r="R547" s="295"/>
      <c r="S547" s="295"/>
      <c r="T547" s="295"/>
      <c r="U547" s="295"/>
    </row>
    <row r="548" spans="1:21" ht="17.25" customHeight="1">
      <c r="A548" s="396" t="s">
        <v>822</v>
      </c>
      <c r="B548" s="542" t="s">
        <v>1123</v>
      </c>
      <c r="C548" s="542"/>
      <c r="D548" s="542"/>
      <c r="E548" s="542"/>
      <c r="F548" s="542"/>
      <c r="G548" s="542"/>
      <c r="H548" s="181"/>
      <c r="I548" s="371">
        <f>3%</f>
        <v>0.03</v>
      </c>
      <c r="J548" s="493"/>
      <c r="K548" s="351"/>
      <c r="L548" s="350"/>
      <c r="M548" s="350"/>
      <c r="N548" s="350"/>
      <c r="O548" s="295"/>
      <c r="P548" s="295"/>
      <c r="Q548" s="295"/>
      <c r="R548" s="295"/>
      <c r="S548" s="295"/>
      <c r="T548" s="295"/>
      <c r="U548" s="295"/>
    </row>
    <row r="549" spans="1:21" ht="17.25" customHeight="1">
      <c r="A549" s="396" t="s">
        <v>823</v>
      </c>
      <c r="B549" s="566" t="s">
        <v>1125</v>
      </c>
      <c r="C549" s="566"/>
      <c r="D549" s="566"/>
      <c r="E549" s="566"/>
      <c r="F549" s="566"/>
      <c r="G549" s="566"/>
      <c r="H549" s="181"/>
      <c r="I549" s="371" t="e">
        <f>I548-I550</f>
        <v>#VALUE!</v>
      </c>
      <c r="J549" s="493"/>
      <c r="K549" s="351"/>
      <c r="L549" s="350"/>
      <c r="M549" s="350"/>
      <c r="N549" s="350"/>
      <c r="O549" s="295"/>
      <c r="P549" s="295"/>
      <c r="Q549" s="295"/>
      <c r="R549" s="295"/>
      <c r="S549" s="295"/>
      <c r="T549" s="295"/>
      <c r="U549" s="295"/>
    </row>
    <row r="550" spans="1:21" ht="17.25" customHeight="1">
      <c r="A550" s="396" t="s">
        <v>824</v>
      </c>
      <c r="B550" s="566" t="s">
        <v>1126</v>
      </c>
      <c r="C550" s="566"/>
      <c r="D550" s="566"/>
      <c r="E550" s="566"/>
      <c r="F550" s="566"/>
      <c r="G550" s="566"/>
      <c r="H550" s="181"/>
      <c r="I550" s="371" t="e">
        <f>IF(YEAR(I3)=2016,0.7%,IF(YEAR(I3)=2017,0.9%,IF(YEAR(I3)=2018,1.1%,IF(YEAR(I3)=2019,1.3%,IF(YEAR(I3)&gt;=2020,1.5%)))))</f>
        <v>#VALUE!</v>
      </c>
      <c r="J550" s="493"/>
      <c r="K550" s="351"/>
      <c r="L550" s="350"/>
      <c r="M550" s="350"/>
      <c r="N550" s="350"/>
      <c r="O550" s="295"/>
      <c r="P550" s="295"/>
      <c r="Q550" s="295"/>
      <c r="R550" s="295"/>
      <c r="S550" s="295"/>
      <c r="T550" s="295"/>
      <c r="U550" s="295"/>
    </row>
    <row r="551" spans="1:21" ht="17.25" customHeight="1">
      <c r="A551" s="396" t="s">
        <v>825</v>
      </c>
      <c r="B551" s="542" t="s">
        <v>1124</v>
      </c>
      <c r="C551" s="542"/>
      <c r="D551" s="542"/>
      <c r="E551" s="542"/>
      <c r="F551" s="542"/>
      <c r="G551" s="542"/>
      <c r="H551" s="181"/>
      <c r="I551" s="371" t="e">
        <f>I547-I548</f>
        <v>#VALUE!</v>
      </c>
      <c r="J551" s="493"/>
      <c r="K551" s="351"/>
      <c r="L551" s="350"/>
      <c r="M551" s="350"/>
      <c r="N551" s="350"/>
      <c r="O551" s="295"/>
      <c r="P551" s="295"/>
      <c r="Q551" s="295"/>
      <c r="R551" s="295"/>
      <c r="S551" s="295"/>
      <c r="T551" s="295"/>
      <c r="U551" s="295"/>
    </row>
    <row r="552" spans="1:21" ht="17.25" customHeight="1">
      <c r="A552" s="396" t="s">
        <v>826</v>
      </c>
      <c r="B552" s="546" t="s">
        <v>1125</v>
      </c>
      <c r="C552" s="546"/>
      <c r="D552" s="546"/>
      <c r="E552" s="546"/>
      <c r="F552" s="546"/>
      <c r="G552" s="546"/>
      <c r="H552" s="181"/>
      <c r="I552" s="371" t="e">
        <f>I551-I553</f>
        <v>#VALUE!</v>
      </c>
      <c r="J552" s="493"/>
      <c r="K552" s="351"/>
      <c r="L552" s="350"/>
      <c r="M552" s="350"/>
      <c r="N552" s="350"/>
      <c r="O552" s="295"/>
      <c r="P552" s="295"/>
      <c r="Q552" s="295"/>
      <c r="R552" s="295"/>
      <c r="S552" s="295"/>
      <c r="T552" s="295"/>
      <c r="U552" s="295"/>
    </row>
    <row r="553" spans="1:21" ht="17.25" customHeight="1">
      <c r="A553" s="396" t="s">
        <v>827</v>
      </c>
      <c r="B553" s="546" t="s">
        <v>1126</v>
      </c>
      <c r="C553" s="546"/>
      <c r="D553" s="546"/>
      <c r="E553" s="546"/>
      <c r="F553" s="546"/>
      <c r="G553" s="546"/>
      <c r="H553" s="181"/>
      <c r="I553" s="371">
        <f>0%</f>
        <v>0</v>
      </c>
      <c r="J553" s="493"/>
      <c r="K553" s="351"/>
      <c r="L553" s="350"/>
      <c r="M553" s="350"/>
      <c r="N553" s="350"/>
      <c r="O553" s="295"/>
      <c r="P553" s="295"/>
      <c r="Q553" s="295"/>
      <c r="R553" s="295"/>
      <c r="S553" s="295"/>
      <c r="T553" s="295"/>
      <c r="U553" s="295"/>
    </row>
    <row r="554" spans="1:21" ht="17.25" customHeight="1">
      <c r="A554" s="396" t="s">
        <v>1354</v>
      </c>
      <c r="B554" s="542" t="s">
        <v>1355</v>
      </c>
      <c r="C554" s="542"/>
      <c r="D554" s="542"/>
      <c r="E554" s="542"/>
      <c r="F554" s="542"/>
      <c r="G554" s="542"/>
      <c r="H554" s="181"/>
      <c r="I554" s="468">
        <f>IF(OR(I502="",I502=0),0,I632/(I502-I504))</f>
        <v>0</v>
      </c>
      <c r="J554" s="493"/>
      <c r="K554" s="351"/>
      <c r="L554" s="350"/>
      <c r="M554" s="350"/>
      <c r="N554" s="350"/>
      <c r="O554" s="295"/>
      <c r="P554" s="295"/>
      <c r="Q554" s="295"/>
      <c r="R554" s="295"/>
      <c r="S554" s="295"/>
      <c r="T554" s="295"/>
      <c r="U554" s="295"/>
    </row>
    <row r="555" spans="1:21" ht="17.25" customHeight="1">
      <c r="A555" s="396" t="s">
        <v>1356</v>
      </c>
      <c r="B555" s="542" t="s">
        <v>1128</v>
      </c>
      <c r="C555" s="542"/>
      <c r="D555" s="542"/>
      <c r="E555" s="542"/>
      <c r="F555" s="542"/>
      <c r="G555" s="542"/>
      <c r="H555" s="181"/>
      <c r="I555" s="468">
        <f>IF(OR(I502="",I502=0),0,I636/(I502-I504))</f>
        <v>0</v>
      </c>
      <c r="J555" s="493"/>
      <c r="K555" s="351"/>
      <c r="L555" s="350"/>
      <c r="M555" s="350"/>
      <c r="N555" s="350"/>
      <c r="O555" s="295"/>
      <c r="P555" s="295"/>
      <c r="Q555" s="295"/>
      <c r="R555" s="295"/>
      <c r="S555" s="295"/>
      <c r="T555" s="295"/>
      <c r="U555" s="295"/>
    </row>
    <row r="556" spans="1:21" ht="17.25" customHeight="1">
      <c r="A556" s="396" t="s">
        <v>1357</v>
      </c>
      <c r="B556" s="546" t="s">
        <v>1129</v>
      </c>
      <c r="C556" s="546"/>
      <c r="D556" s="546"/>
      <c r="E556" s="546"/>
      <c r="F556" s="546"/>
      <c r="G556" s="546"/>
      <c r="H556" s="181"/>
      <c r="I556" s="468">
        <f>IF(OR(I502="",I502=0),0,I637/(I502-I504))</f>
        <v>0</v>
      </c>
      <c r="J556" s="493"/>
      <c r="K556" s="351"/>
      <c r="L556" s="350"/>
      <c r="M556" s="350"/>
      <c r="N556" s="350"/>
      <c r="O556" s="295"/>
      <c r="P556" s="295"/>
      <c r="Q556" s="295"/>
      <c r="R556" s="295"/>
      <c r="S556" s="295"/>
      <c r="T556" s="295"/>
      <c r="U556" s="295"/>
    </row>
    <row r="557" spans="1:21" ht="17.25" customHeight="1">
      <c r="A557" s="396" t="s">
        <v>1358</v>
      </c>
      <c r="B557" s="546" t="s">
        <v>1130</v>
      </c>
      <c r="C557" s="546"/>
      <c r="D557" s="546"/>
      <c r="E557" s="546"/>
      <c r="F557" s="546"/>
      <c r="G557" s="546"/>
      <c r="H557" s="181"/>
      <c r="I557" s="468">
        <f>IF(OR(I502="",I502=0),0,I638/(I502-I504))</f>
        <v>0</v>
      </c>
      <c r="J557" s="493"/>
      <c r="K557" s="351"/>
      <c r="L557" s="350"/>
      <c r="M557" s="350"/>
      <c r="N557" s="350"/>
      <c r="O557" s="295"/>
      <c r="P557" s="295"/>
      <c r="Q557" s="295"/>
      <c r="R557" s="295"/>
      <c r="S557" s="295"/>
      <c r="T557" s="295"/>
      <c r="U557" s="295"/>
    </row>
    <row r="558" spans="1:21" ht="33" customHeight="1">
      <c r="A558" s="395" t="s">
        <v>583</v>
      </c>
      <c r="B558" s="553" t="s">
        <v>1598</v>
      </c>
      <c r="C558" s="553"/>
      <c r="D558" s="553"/>
      <c r="E558" s="553"/>
      <c r="F558" s="553"/>
      <c r="G558" s="553"/>
      <c r="H558" s="181"/>
      <c r="I558" s="468" t="e">
        <f>IF(AND(I512=1,I513="C"),MAX(I565,IF(YEAR(I3)&lt;2022,0.086,0.1)),I565)</f>
        <v>#VALUE!</v>
      </c>
      <c r="J558" s="493"/>
      <c r="K558" s="351"/>
      <c r="L558" s="490"/>
      <c r="M558" s="350"/>
      <c r="N558" s="350"/>
      <c r="O558" s="352"/>
      <c r="P558" s="295"/>
      <c r="Q558" s="295"/>
      <c r="R558" s="295"/>
      <c r="S558" s="295"/>
      <c r="T558" s="295"/>
      <c r="U558" s="295"/>
    </row>
    <row r="559" spans="1:21" ht="17.25" customHeight="1">
      <c r="A559" s="396" t="s">
        <v>828</v>
      </c>
      <c r="B559" s="565" t="s">
        <v>1119</v>
      </c>
      <c r="C559" s="565"/>
      <c r="D559" s="565"/>
      <c r="E559" s="565"/>
      <c r="F559" s="565"/>
      <c r="G559" s="565"/>
      <c r="H559" s="181"/>
      <c r="I559" s="469" t="e">
        <f>IF(AND(I512=1,I513="C",YEAR(I3)=2019),10.52%,IF(AND(I512=1,I513="C",YEAR(I3)&gt;=2020),0.75*12.86%,IF(AND(I512=1,I513="A"),0.62*12.86%,IF(AND(I512=1,I513="B"),0,IF(AND(I512=2,YEAR(I3)=2019),0.64%,IF(AND(I512=2,YEAR(I3)=2020),1.28%,IF(AND(I512=2,YEAR(I3)=2021),1.92%,IF(AND(I512=2,YEAR(I3)=2022),2.56%,IF(AND(I512=2,YEAR(I3)=2023),3.2%,IF(AND(I512=2,YEAR(I3)=2024),3.84%,IF(AND(I512=2,YEAR(I3)=2025),4.5%,IF(AND(I512=2,YEAR(I3)&gt;=2026),0.4*12.86%))))))))))))</f>
        <v>#VALUE!</v>
      </c>
      <c r="J559" s="493"/>
      <c r="K559" s="351"/>
      <c r="L559" s="490"/>
      <c r="M559" s="350"/>
      <c r="N559" s="350"/>
      <c r="O559" s="295"/>
      <c r="P559" s="295"/>
      <c r="Q559" s="295"/>
      <c r="R559" s="295"/>
      <c r="S559" s="295"/>
      <c r="T559" s="295"/>
      <c r="U559" s="295"/>
    </row>
    <row r="560" spans="1:21" ht="17.25" customHeight="1">
      <c r="A560" s="396" t="s">
        <v>829</v>
      </c>
      <c r="B560" s="551" t="s">
        <v>1120</v>
      </c>
      <c r="C560" s="551"/>
      <c r="D560" s="551"/>
      <c r="E560" s="551"/>
      <c r="F560" s="551"/>
      <c r="G560" s="551"/>
      <c r="H560" s="181"/>
      <c r="I560" s="468" t="e">
        <f>IF(AND(I512=1,I513="C",YEAR(I3)=2019),I515,IF(AND(I512=1,I513="C",YEAR(I3)&gt;2019),0.75*I515,IF(AND(I512=1,I513="A"),0.62*I515,IF(AND(I512=1,I513="B"),0,IF(AND(I512=2,YEAR(I3)&lt;2025),0,IF(AND(I512=2,YEAR(I3)=2025),0.2*I515,IF(AND(I512=2,YEAR(I3)&gt;2025),0.4*I515)))))))</f>
        <v>#VALUE!</v>
      </c>
      <c r="J560" s="493"/>
      <c r="K560" s="351"/>
      <c r="L560" s="490"/>
      <c r="M560" s="350"/>
      <c r="N560" s="350"/>
      <c r="O560" s="295"/>
      <c r="P560" s="295"/>
      <c r="Q560" s="295"/>
      <c r="R560" s="295"/>
      <c r="S560" s="295"/>
      <c r="T560" s="295"/>
      <c r="U560" s="295"/>
    </row>
    <row r="561" spans="1:21" ht="17.25" customHeight="1">
      <c r="A561" s="396" t="s">
        <v>830</v>
      </c>
      <c r="B561" s="551" t="s">
        <v>1121</v>
      </c>
      <c r="C561" s="551"/>
      <c r="D561" s="551"/>
      <c r="E561" s="551"/>
      <c r="F561" s="551"/>
      <c r="G561" s="551"/>
      <c r="H561" s="181"/>
      <c r="I561" s="468" t="e">
        <f>IF(AND(I512=1,I513="C",YEAR(I3)=2019),I516,IF(AND(I512=1,I513="C",YEAR(I3)&gt;2019),0.75*I516,IF(AND(I512=1,I513="A"),0.62*I516,
IF(AND(I512=1,I513="B"),0,IF(AND(I512=2,YEAR(I3)&lt;2025),0,IF(AND(I512=2,YEAR(I3)=2025),0.2*I516,IF(AND(I512=2,YEAR(I3)&gt;2025),
0.4*I516)))))))</f>
        <v>#VALUE!</v>
      </c>
      <c r="J561" s="493"/>
      <c r="K561" s="351"/>
      <c r="L561" s="490"/>
      <c r="M561" s="350"/>
      <c r="N561" s="350"/>
      <c r="O561" s="295"/>
      <c r="P561" s="295"/>
      <c r="Q561" s="295"/>
      <c r="R561" s="295"/>
      <c r="S561" s="295"/>
      <c r="T561" s="295"/>
      <c r="U561" s="295"/>
    </row>
    <row r="562" spans="1:21" ht="17.25" customHeight="1">
      <c r="A562" s="428" t="s">
        <v>831</v>
      </c>
      <c r="B562" s="560" t="s">
        <v>1730</v>
      </c>
      <c r="C562" s="560"/>
      <c r="D562" s="560"/>
      <c r="E562" s="560"/>
      <c r="F562" s="560"/>
      <c r="G562" s="560"/>
      <c r="H562" s="181"/>
      <c r="I562" s="470"/>
      <c r="J562" s="280">
        <v>1519</v>
      </c>
      <c r="K562" s="351"/>
      <c r="L562" s="115" t="str">
        <f>IF(AND(I512=1,I562&lt;&gt;0),"WARNING","OK")</f>
        <v>OK</v>
      </c>
      <c r="M562" s="350"/>
      <c r="N562" s="350"/>
      <c r="O562" s="295"/>
      <c r="P562" s="295"/>
      <c r="Q562" s="295"/>
      <c r="R562" s="295"/>
      <c r="S562" s="295"/>
      <c r="T562" s="295"/>
      <c r="U562" s="295"/>
    </row>
    <row r="563" spans="1:21" ht="17.25" customHeight="1" thickBot="1">
      <c r="A563" s="485" t="s">
        <v>832</v>
      </c>
      <c r="B563" s="560" t="s">
        <v>1756</v>
      </c>
      <c r="C563" s="560"/>
      <c r="D563" s="560"/>
      <c r="E563" s="560"/>
      <c r="F563" s="560"/>
      <c r="G563" s="560"/>
      <c r="H563" s="181"/>
      <c r="I563" s="481">
        <f>IF(OR(I389="",I389=0),0,I618/(12.5*I389))</f>
        <v>0</v>
      </c>
      <c r="J563" s="280">
        <v>1531</v>
      </c>
      <c r="K563" s="351"/>
      <c r="L563" s="115" t="e">
        <f>IF(I563&gt;0.25*I521,"WARNING","OK")</f>
        <v>#VALUE!</v>
      </c>
      <c r="M563" s="350"/>
      <c r="N563" s="350"/>
      <c r="O563" s="295"/>
      <c r="P563" s="295"/>
      <c r="Q563" s="295"/>
      <c r="R563" s="295"/>
      <c r="S563" s="295"/>
      <c r="T563" s="295"/>
      <c r="U563" s="295"/>
    </row>
    <row r="564" spans="1:21" ht="17.25" customHeight="1" thickTop="1">
      <c r="A564" s="396" t="s">
        <v>833</v>
      </c>
      <c r="B564" s="551" t="s">
        <v>1359</v>
      </c>
      <c r="C564" s="551"/>
      <c r="D564" s="551"/>
      <c r="E564" s="551"/>
      <c r="F564" s="551"/>
      <c r="G564" s="551"/>
      <c r="H564" s="181"/>
      <c r="I564" s="468" t="e">
        <f>IF(AND(I512=1,I513="B"),0,-MIN(1/3*SUM(I559:I563),(0.5*(ABS(I367+I371+I379+((I249+I257)*0.2)+((I250+I258)*0.4)+((I251+I259)*0.6)+((I252+I260)*0.8)+I380+((I273+I281)*0.2)+((I274+I282)*0.4)+((I275+I283)*0.6)+((I276+I284)*0.8))/(I389*12.5)))))</f>
        <v>#VALUE!</v>
      </c>
      <c r="J564" s="493"/>
      <c r="K564" s="490"/>
      <c r="L564" s="115" t="e">
        <f>IF(I564&lt;=0,"OK","ERROR")</f>
        <v>#VALUE!</v>
      </c>
      <c r="M564" s="350"/>
      <c r="N564" s="350"/>
      <c r="O564" s="295"/>
      <c r="P564" s="295"/>
      <c r="Q564" s="295"/>
      <c r="R564" s="295"/>
      <c r="S564" s="295"/>
      <c r="T564" s="295"/>
      <c r="U564" s="295"/>
    </row>
    <row r="565" spans="1:21" ht="17.25" customHeight="1">
      <c r="A565" s="396" t="s">
        <v>1757</v>
      </c>
      <c r="B565" s="551" t="s">
        <v>1758</v>
      </c>
      <c r="C565" s="551"/>
      <c r="D565" s="551"/>
      <c r="E565" s="551"/>
      <c r="F565" s="551"/>
      <c r="G565" s="551"/>
      <c r="H565" s="181"/>
      <c r="I565" s="468" t="e">
        <f>IF(AND(I512=1,I513="C"),SUM(I559:I563)-MIN(ABS(I564),0.058),IF(AND(I512=1,I513="B"),0,SUM(I559:I564)-I563))</f>
        <v>#VALUE!</v>
      </c>
      <c r="J565" s="493"/>
      <c r="K565" s="490"/>
      <c r="L565" s="506"/>
      <c r="M565" s="350"/>
      <c r="N565" s="350"/>
      <c r="O565" s="295"/>
      <c r="P565" s="295"/>
      <c r="Q565" s="295"/>
      <c r="R565" s="295"/>
      <c r="S565" s="295"/>
      <c r="T565" s="295"/>
      <c r="U565" s="295"/>
    </row>
    <row r="566" spans="1:21" ht="17.25" customHeight="1">
      <c r="A566" s="396" t="s">
        <v>1360</v>
      </c>
      <c r="B566" s="542" t="s">
        <v>1123</v>
      </c>
      <c r="C566" s="542"/>
      <c r="D566" s="542"/>
      <c r="E566" s="542"/>
      <c r="F566" s="542"/>
      <c r="G566" s="542"/>
      <c r="H566" s="181"/>
      <c r="I566" s="468" t="b">
        <f>IF(AND(I512=1,I513="C"),0.75*8%,IF(AND(I512=1,I513="A"),0.62*8%,IF(AND(I512=1,I513="B"),0,IF(I512=2,0.4*8%))))</f>
        <v>0</v>
      </c>
      <c r="J566" s="493"/>
      <c r="K566" s="351"/>
      <c r="L566" s="490"/>
      <c r="M566" s="350"/>
      <c r="N566" s="350"/>
      <c r="O566" s="295"/>
      <c r="P566" s="295"/>
      <c r="Q566" s="295"/>
      <c r="R566" s="295"/>
      <c r="S566" s="295"/>
      <c r="T566" s="295"/>
      <c r="U566" s="295"/>
    </row>
    <row r="567" spans="1:21" ht="17.25" customHeight="1">
      <c r="A567" s="396" t="s">
        <v>1361</v>
      </c>
      <c r="B567" s="542" t="s">
        <v>1124</v>
      </c>
      <c r="C567" s="542"/>
      <c r="D567" s="542"/>
      <c r="E567" s="542"/>
      <c r="F567" s="542"/>
      <c r="G567" s="542"/>
      <c r="H567" s="181"/>
      <c r="I567" s="468" t="e">
        <f>I565-I566</f>
        <v>#VALUE!</v>
      </c>
      <c r="J567" s="493"/>
      <c r="K567" s="351"/>
      <c r="L567" s="490"/>
      <c r="M567" s="350"/>
      <c r="N567" s="350"/>
      <c r="O567" s="295"/>
      <c r="P567" s="295"/>
      <c r="Q567" s="295"/>
      <c r="R567" s="295"/>
      <c r="S567" s="295"/>
      <c r="T567" s="295"/>
      <c r="U567" s="295"/>
    </row>
    <row r="568" spans="1:21" ht="33" customHeight="1">
      <c r="A568" s="395" t="s">
        <v>584</v>
      </c>
      <c r="B568" s="553" t="s">
        <v>1599</v>
      </c>
      <c r="C568" s="553"/>
      <c r="D568" s="553"/>
      <c r="E568" s="553"/>
      <c r="F568" s="553"/>
      <c r="G568" s="553"/>
      <c r="H568" s="181"/>
      <c r="I568" s="468" t="e">
        <f>IF(AND(I512=1,I513="C"),MAX(I575,IF(YEAR(I3)&lt;2022,0.03,0.0375)),I575)</f>
        <v>#VALUE!</v>
      </c>
      <c r="J568" s="493"/>
      <c r="K568" s="351"/>
      <c r="L568" s="490"/>
      <c r="M568" s="350"/>
      <c r="N568" s="350"/>
      <c r="O568" s="295"/>
      <c r="P568" s="295"/>
      <c r="Q568" s="295"/>
      <c r="R568" s="295"/>
      <c r="S568" s="295"/>
      <c r="T568" s="295"/>
      <c r="U568" s="295"/>
    </row>
    <row r="569" spans="1:21" ht="17.25" customHeight="1">
      <c r="A569" s="396" t="s">
        <v>834</v>
      </c>
      <c r="B569" s="551" t="s">
        <v>1119</v>
      </c>
      <c r="C569" s="551"/>
      <c r="D569" s="551"/>
      <c r="E569" s="551"/>
      <c r="F569" s="551"/>
      <c r="G569" s="551"/>
      <c r="H569" s="181"/>
      <c r="I569" s="468" t="e">
        <f>IF(AND(I512=1,I513="C",YEAR(I3)=2019),3.625%,IF(AND(I512=1,I513="C",YEAR(I3)&gt;=2020),0.75*4.5%,IF(AND(I512=1,I513="A"),0.62*4.5%,IF(AND(I512=1,I513="B"),0,IF(AND(I512=2,YEAR(I3)=2019),0.21%,IF(AND(I512=2,YEAR(I3)=2020),0.42%,IF(AND(I512=2,YEAR(I3)=2021),0.63%,IF(AND(I512=2,YEAR(I3)=2022),0.84%,IF(AND(I512=2,YEAR(I3)=2023),1.05%,IF(AND(I512=2,YEAR(I3)=2024),1.26%,IF(AND(I512=2,YEAR(I3)=2025),1.5%,IF(AND(I512=2,YEAR(I3)&gt;=2026),0.4*4.5%))))))))))))</f>
        <v>#VALUE!</v>
      </c>
      <c r="J569" s="493"/>
      <c r="K569" s="351"/>
      <c r="L569" s="490"/>
      <c r="M569" s="350"/>
      <c r="N569" s="350"/>
      <c r="O569" s="295"/>
      <c r="P569" s="295"/>
      <c r="Q569" s="295"/>
      <c r="R569" s="295"/>
      <c r="S569" s="295"/>
      <c r="T569" s="295"/>
      <c r="U569" s="295"/>
    </row>
    <row r="570" spans="1:21" ht="17.25" customHeight="1">
      <c r="A570" s="396" t="s">
        <v>835</v>
      </c>
      <c r="B570" s="564" t="s">
        <v>1120</v>
      </c>
      <c r="C570" s="564"/>
      <c r="D570" s="564"/>
      <c r="E570" s="564"/>
      <c r="F570" s="564"/>
      <c r="G570" s="564"/>
      <c r="H570" s="181"/>
      <c r="I570" s="468" t="e">
        <f>IF(AND(I512=1,I513="C",YEAR(I3)=2019),0.75*I518,IF(AND(I512=1,I513="C",YEAR(I3)&gt;2019),0.75*I518,IF(AND(I512=1,I513="A"),0.62*I518,
IF(AND(I512=1,I513="B"),0,IF(AND(I512=2,YEAR(I3)&lt;2025),0,IF(AND(I512=2,YEAR(I3)=2025),0.2*I518,IF(AND(I512=2,YEAR(I3)&gt;2025),
0.4*I518)))))))</f>
        <v>#VALUE!</v>
      </c>
      <c r="J570" s="493"/>
      <c r="K570" s="351"/>
      <c r="L570" s="490"/>
      <c r="M570" s="350"/>
      <c r="N570" s="350"/>
      <c r="O570" s="295"/>
      <c r="P570" s="295"/>
      <c r="Q570" s="295"/>
      <c r="R570" s="295"/>
      <c r="S570" s="295"/>
      <c r="T570" s="295"/>
      <c r="U570" s="295"/>
    </row>
    <row r="571" spans="1:21" ht="17.25" customHeight="1">
      <c r="A571" s="396" t="s">
        <v>836</v>
      </c>
      <c r="B571" s="565" t="s">
        <v>1121</v>
      </c>
      <c r="C571" s="565"/>
      <c r="D571" s="565"/>
      <c r="E571" s="565"/>
      <c r="F571" s="565"/>
      <c r="G571" s="565"/>
      <c r="H571" s="181"/>
      <c r="I571" s="468" t="e">
        <f>IF(AND(I512=1,I513="C",YEAR(I3)=2019),0.75*I519,IF(AND(I512=1,I513="C",YEAR(I3)&gt;2019),0.75*I519,IF(AND(I512=1,I513="A"),0.62*I519,
IF(AND(I512=1,I513="B"),0,IF(AND(I512=2,YEAR(I3)&lt;2025),0,IF(AND(I512=2,YEAR(I3)=2025),0.2*I519,IF(AND(I512=2,YEAR(I3)&gt;2025),0.4*I519)))))))</f>
        <v>#VALUE!</v>
      </c>
      <c r="J571" s="493"/>
      <c r="K571" s="351"/>
      <c r="L571" s="490"/>
      <c r="M571" s="350"/>
      <c r="N571" s="350"/>
      <c r="O571" s="295"/>
      <c r="P571" s="295"/>
      <c r="Q571" s="295"/>
      <c r="R571" s="295"/>
      <c r="S571" s="295"/>
      <c r="T571" s="295"/>
      <c r="U571" s="295"/>
    </row>
    <row r="572" spans="1:21" ht="17.25" customHeight="1">
      <c r="A572" s="428" t="s">
        <v>837</v>
      </c>
      <c r="B572" s="560" t="s">
        <v>1730</v>
      </c>
      <c r="C572" s="560"/>
      <c r="D572" s="560"/>
      <c r="E572" s="560"/>
      <c r="F572" s="560"/>
      <c r="G572" s="560"/>
      <c r="H572" s="181"/>
      <c r="I572" s="470"/>
      <c r="J572" s="280">
        <v>1520</v>
      </c>
      <c r="K572" s="351"/>
      <c r="L572" s="115" t="str">
        <f>IF(AND(I512=1,I572&lt;&gt;0),"WARNING","OK")</f>
        <v>OK</v>
      </c>
      <c r="M572" s="350"/>
      <c r="N572" s="350"/>
      <c r="O572" s="295"/>
      <c r="P572" s="295"/>
      <c r="Q572" s="295"/>
      <c r="R572" s="295"/>
      <c r="S572" s="295"/>
      <c r="T572" s="295"/>
      <c r="U572" s="295"/>
    </row>
    <row r="573" spans="1:21" ht="17.25" customHeight="1" thickBot="1">
      <c r="A573" s="485" t="s">
        <v>838</v>
      </c>
      <c r="B573" s="560" t="s">
        <v>1756</v>
      </c>
      <c r="C573" s="560"/>
      <c r="D573" s="560"/>
      <c r="E573" s="560"/>
      <c r="F573" s="560"/>
      <c r="G573" s="560"/>
      <c r="H573" s="181"/>
      <c r="I573" s="481">
        <f>IF(OR(I502="",I502=0),0,I648/(I502-I504))</f>
        <v>0</v>
      </c>
      <c r="J573" s="280">
        <v>1535</v>
      </c>
      <c r="K573" s="351"/>
      <c r="L573" s="115" t="e">
        <f>IF(I573&gt;0.25*I543,"WARNING","OK")</f>
        <v>#VALUE!</v>
      </c>
      <c r="M573" s="350"/>
      <c r="N573" s="350"/>
      <c r="O573" s="295"/>
      <c r="P573" s="295"/>
      <c r="Q573" s="295"/>
      <c r="R573" s="295"/>
      <c r="S573" s="295"/>
      <c r="T573" s="295"/>
      <c r="U573" s="295"/>
    </row>
    <row r="574" spans="1:21" ht="17.25" customHeight="1" thickTop="1">
      <c r="A574" s="396" t="s">
        <v>839</v>
      </c>
      <c r="B574" s="551" t="s">
        <v>1359</v>
      </c>
      <c r="C574" s="551"/>
      <c r="D574" s="551"/>
      <c r="E574" s="551"/>
      <c r="F574" s="551"/>
      <c r="G574" s="551"/>
      <c r="H574" s="181"/>
      <c r="I574" s="468" t="e">
        <f>IF(AND(I512=1,I513="B"),0,-MIN(1/3*SUM(I569:I573),0.5*ABS(I367+I371+I379+((I249+I257)*0.2)+((I250+I258)*0.4)+((I251+I259)*0.6)+((I252+I260)*0.8)+I380+((I273+I281)*0.2)+((I274+I282)*0.4)+((I275+I283)*0.6)+((I276+I284)*0.8))/I502))</f>
        <v>#VALUE!</v>
      </c>
      <c r="J574" s="493"/>
      <c r="K574" s="351"/>
      <c r="L574" s="115" t="e">
        <f>IF(I574&lt;=0,"OK","ERROR")</f>
        <v>#VALUE!</v>
      </c>
      <c r="M574" s="350"/>
      <c r="N574" s="350"/>
      <c r="O574" s="295"/>
      <c r="P574" s="295"/>
      <c r="Q574" s="295"/>
      <c r="R574" s="295"/>
      <c r="S574" s="295"/>
      <c r="T574" s="295"/>
      <c r="U574" s="295"/>
    </row>
    <row r="575" spans="1:21" ht="17.25" customHeight="1">
      <c r="A575" s="396" t="s">
        <v>1759</v>
      </c>
      <c r="B575" s="551" t="s">
        <v>1760</v>
      </c>
      <c r="C575" s="551"/>
      <c r="D575" s="551"/>
      <c r="E575" s="551"/>
      <c r="F575" s="551"/>
      <c r="G575" s="551"/>
      <c r="H575" s="181"/>
      <c r="I575" s="468" t="e">
        <f>IF(AND(I512=1,I513="C"),SUM(I569:I573)-MIN(ABS(I574),0.02),IF(AND(I512=1,I513="B"),0,SUM(I569:I574)-I573))</f>
        <v>#VALUE!</v>
      </c>
      <c r="J575" s="493"/>
      <c r="K575" s="490"/>
      <c r="L575" s="350"/>
      <c r="M575" s="350"/>
      <c r="N575" s="350"/>
      <c r="O575" s="295"/>
      <c r="P575" s="295"/>
      <c r="Q575" s="295"/>
      <c r="R575" s="295"/>
      <c r="S575" s="295"/>
      <c r="T575" s="295"/>
      <c r="U575" s="295"/>
    </row>
    <row r="576" spans="1:21" ht="17.25" customHeight="1">
      <c r="A576" s="396" t="s">
        <v>1362</v>
      </c>
      <c r="B576" s="542" t="s">
        <v>1123</v>
      </c>
      <c r="C576" s="542"/>
      <c r="D576" s="542"/>
      <c r="E576" s="542"/>
      <c r="F576" s="542"/>
      <c r="G576" s="542"/>
      <c r="H576" s="181"/>
      <c r="I576" s="468" t="b">
        <f>IF(AND(I512=1,I513="C"),0.75*3%,IF(AND(I512=1,I513="A"),0.62*3%,IF(AND(I512=1,I513="B"),0,IF(I512=2,0.4*3%))))</f>
        <v>0</v>
      </c>
      <c r="J576" s="493"/>
      <c r="K576" s="351"/>
      <c r="L576" s="350"/>
      <c r="M576" s="350"/>
      <c r="N576" s="350"/>
      <c r="O576" s="295"/>
      <c r="P576" s="295"/>
      <c r="Q576" s="295"/>
      <c r="R576" s="295"/>
      <c r="S576" s="295"/>
      <c r="T576" s="295"/>
      <c r="U576" s="295"/>
    </row>
    <row r="577" spans="1:21" ht="17.25" customHeight="1">
      <c r="A577" s="396" t="s">
        <v>1363</v>
      </c>
      <c r="B577" s="542" t="s">
        <v>1124</v>
      </c>
      <c r="C577" s="542"/>
      <c r="D577" s="542"/>
      <c r="E577" s="542"/>
      <c r="F577" s="542"/>
      <c r="G577" s="542"/>
      <c r="H577" s="181"/>
      <c r="I577" s="468" t="e">
        <f>I575-I576</f>
        <v>#VALUE!</v>
      </c>
      <c r="J577" s="493"/>
      <c r="K577" s="351"/>
      <c r="L577" s="350"/>
      <c r="M577" s="350"/>
      <c r="N577" s="350"/>
      <c r="O577" s="295"/>
      <c r="P577" s="295"/>
      <c r="Q577" s="295"/>
      <c r="R577" s="295"/>
      <c r="S577" s="295"/>
      <c r="T577" s="295"/>
      <c r="U577" s="295"/>
    </row>
    <row r="578" spans="1:21" s="490" customFormat="1" ht="6" customHeight="1">
      <c r="A578" s="261"/>
      <c r="B578" s="526"/>
      <c r="C578" s="526"/>
      <c r="D578" s="526"/>
      <c r="E578" s="526"/>
      <c r="F578" s="526"/>
      <c r="G578" s="526"/>
      <c r="H578" s="8"/>
      <c r="I578" s="277"/>
      <c r="J578" s="496"/>
      <c r="K578" s="6"/>
      <c r="L578" s="285"/>
      <c r="N578" s="460"/>
      <c r="O578" s="460"/>
      <c r="P578" s="460"/>
      <c r="Q578" s="460"/>
      <c r="R578" s="460"/>
      <c r="S578" s="460"/>
      <c r="T578" s="460"/>
      <c r="U578" s="460"/>
    </row>
    <row r="579" spans="1:21" ht="6" customHeight="1">
      <c r="A579" s="259"/>
      <c r="B579" s="527"/>
      <c r="C579" s="527"/>
      <c r="D579" s="527"/>
      <c r="E579" s="527"/>
      <c r="F579" s="527"/>
      <c r="G579" s="527"/>
      <c r="H579" s="134"/>
      <c r="I579" s="135"/>
      <c r="J579" s="280"/>
      <c r="K579" s="5"/>
      <c r="L579" s="285"/>
    </row>
    <row r="580" spans="1:21" ht="33" customHeight="1">
      <c r="A580" s="349" t="s">
        <v>840</v>
      </c>
      <c r="B580" s="562" t="s">
        <v>842</v>
      </c>
      <c r="C580" s="562"/>
      <c r="D580" s="562"/>
      <c r="E580" s="562"/>
      <c r="F580" s="562"/>
      <c r="G580" s="562"/>
      <c r="H580" s="181"/>
      <c r="I580" s="335"/>
      <c r="J580" s="280"/>
      <c r="K580" s="6"/>
      <c r="L580" s="490"/>
      <c r="M580" s="350"/>
      <c r="N580" s="350"/>
      <c r="O580" s="295"/>
      <c r="P580" s="295"/>
      <c r="Q580" s="295"/>
      <c r="R580" s="295"/>
      <c r="S580" s="295"/>
      <c r="T580" s="295"/>
      <c r="U580" s="295"/>
    </row>
    <row r="581" spans="1:21" ht="33" customHeight="1">
      <c r="A581" s="398" t="s">
        <v>843</v>
      </c>
      <c r="B581" s="554" t="s">
        <v>1761</v>
      </c>
      <c r="C581" s="554"/>
      <c r="D581" s="554"/>
      <c r="E581" s="554"/>
      <c r="F581" s="554"/>
      <c r="G581" s="554"/>
      <c r="H581" s="181"/>
      <c r="I581" s="399" t="e">
        <f>I582+I584</f>
        <v>#VALUE!</v>
      </c>
      <c r="J581" s="493"/>
      <c r="K581" s="5"/>
      <c r="L581" s="350"/>
      <c r="M581" s="350"/>
      <c r="N581" s="350"/>
      <c r="O581" s="295"/>
      <c r="P581" s="295"/>
      <c r="Q581" s="295"/>
      <c r="R581" s="295"/>
      <c r="S581" s="295"/>
      <c r="T581" s="295"/>
      <c r="U581" s="295"/>
    </row>
    <row r="582" spans="1:21" ht="33" customHeight="1">
      <c r="A582" s="400" t="s">
        <v>844</v>
      </c>
      <c r="B582" s="563" t="s">
        <v>1654</v>
      </c>
      <c r="C582" s="563"/>
      <c r="D582" s="563"/>
      <c r="E582" s="563"/>
      <c r="F582" s="563"/>
      <c r="G582" s="563"/>
      <c r="H582" s="181"/>
      <c r="I582" s="399" t="e">
        <f>I589+I592+I594+I604+I607+I616</f>
        <v>#VALUE!</v>
      </c>
      <c r="J582" s="493"/>
      <c r="K582" s="353"/>
      <c r="L582" s="350"/>
      <c r="M582" s="350"/>
      <c r="N582" s="350"/>
      <c r="O582" s="295"/>
      <c r="P582" s="295"/>
      <c r="Q582" s="295"/>
      <c r="R582" s="295"/>
      <c r="S582" s="295"/>
      <c r="T582" s="295"/>
      <c r="U582" s="295"/>
    </row>
    <row r="583" spans="1:21" ht="17.25" customHeight="1">
      <c r="A583" s="401" t="s">
        <v>845</v>
      </c>
      <c r="B583" s="542" t="s">
        <v>1364</v>
      </c>
      <c r="C583" s="542"/>
      <c r="D583" s="542"/>
      <c r="E583" s="542"/>
      <c r="F583" s="542"/>
      <c r="G583" s="542"/>
      <c r="H583" s="181"/>
      <c r="I583" s="399">
        <f>I684-I685</f>
        <v>0</v>
      </c>
      <c r="J583" s="493"/>
      <c r="K583" s="353"/>
      <c r="L583" s="350"/>
      <c r="M583" s="350"/>
      <c r="N583" s="350"/>
      <c r="O583" s="295"/>
      <c r="P583" s="295"/>
      <c r="Q583" s="295"/>
      <c r="R583" s="295"/>
      <c r="S583" s="295"/>
      <c r="T583" s="295"/>
      <c r="U583" s="295"/>
    </row>
    <row r="584" spans="1:21" ht="21.75" customHeight="1">
      <c r="A584" s="400" t="s">
        <v>846</v>
      </c>
      <c r="B584" s="547" t="s">
        <v>1655</v>
      </c>
      <c r="C584" s="547"/>
      <c r="D584" s="547"/>
      <c r="E584" s="547"/>
      <c r="F584" s="547"/>
      <c r="G584" s="547"/>
      <c r="H584" s="181"/>
      <c r="I584" s="399" t="e">
        <f>I590+I593+I605+I608+I617</f>
        <v>#VALUE!</v>
      </c>
      <c r="J584" s="493"/>
      <c r="K584" s="353"/>
      <c r="L584" s="350"/>
      <c r="M584" s="350"/>
      <c r="N584" s="350"/>
      <c r="O584" s="295"/>
      <c r="P584" s="295"/>
      <c r="Q584" s="295"/>
      <c r="R584" s="295"/>
      <c r="S584" s="295"/>
      <c r="T584" s="295"/>
      <c r="U584" s="295"/>
    </row>
    <row r="585" spans="1:21" ht="17.25" customHeight="1">
      <c r="A585" s="401" t="s">
        <v>847</v>
      </c>
      <c r="B585" s="542" t="s">
        <v>1365</v>
      </c>
      <c r="C585" s="542"/>
      <c r="D585" s="542"/>
      <c r="E585" s="542"/>
      <c r="F585" s="542"/>
      <c r="G585" s="542"/>
      <c r="H585" s="181"/>
      <c r="I585" s="399">
        <f>I685</f>
        <v>0</v>
      </c>
      <c r="J585" s="493"/>
      <c r="K585" s="353"/>
      <c r="L585" s="350"/>
      <c r="M585" s="350"/>
      <c r="N585" s="350"/>
      <c r="O585" s="295"/>
      <c r="P585" s="295"/>
      <c r="Q585" s="295"/>
      <c r="R585" s="295"/>
      <c r="S585" s="295"/>
      <c r="T585" s="295"/>
      <c r="U585" s="295"/>
    </row>
    <row r="586" spans="1:21" ht="17.25" customHeight="1">
      <c r="A586" s="401" t="s">
        <v>848</v>
      </c>
      <c r="B586" s="542" t="s">
        <v>1366</v>
      </c>
      <c r="C586" s="542"/>
      <c r="D586" s="542"/>
      <c r="E586" s="542"/>
      <c r="F586" s="542"/>
      <c r="G586" s="542"/>
      <c r="H586" s="181"/>
      <c r="I586" s="399">
        <f>I686</f>
        <v>0</v>
      </c>
      <c r="J586" s="493"/>
      <c r="K586" s="351"/>
      <c r="L586" s="350"/>
      <c r="M586" s="350"/>
      <c r="N586" s="350"/>
      <c r="O586" s="295"/>
      <c r="P586" s="295"/>
      <c r="Q586" s="295"/>
      <c r="R586" s="295"/>
      <c r="S586" s="295"/>
      <c r="T586" s="295"/>
      <c r="U586" s="295"/>
    </row>
    <row r="587" spans="1:21" ht="17.25" customHeight="1">
      <c r="A587" s="401" t="s">
        <v>849</v>
      </c>
      <c r="B587" s="542" t="s">
        <v>1367</v>
      </c>
      <c r="C587" s="542"/>
      <c r="D587" s="542"/>
      <c r="E587" s="542"/>
      <c r="F587" s="542"/>
      <c r="G587" s="542"/>
      <c r="H587" s="181"/>
      <c r="I587" s="399">
        <f>I687</f>
        <v>0</v>
      </c>
      <c r="J587" s="493"/>
      <c r="K587" s="351"/>
      <c r="L587" s="350"/>
      <c r="M587" s="350"/>
      <c r="N587" s="350"/>
      <c r="O587" s="295"/>
      <c r="P587" s="295"/>
      <c r="Q587" s="295"/>
      <c r="R587" s="295"/>
      <c r="S587" s="295"/>
      <c r="T587" s="295"/>
      <c r="U587" s="295"/>
    </row>
    <row r="588" spans="1:21" ht="33" customHeight="1">
      <c r="A588" s="398" t="s">
        <v>850</v>
      </c>
      <c r="B588" s="547" t="s">
        <v>1762</v>
      </c>
      <c r="C588" s="547"/>
      <c r="D588" s="547"/>
      <c r="E588" s="547"/>
      <c r="F588" s="547"/>
      <c r="G588" s="547"/>
      <c r="H588" s="181"/>
      <c r="I588" s="399">
        <f>I389</f>
        <v>0</v>
      </c>
      <c r="J588" s="493"/>
      <c r="K588" s="351"/>
      <c r="L588" s="350"/>
      <c r="M588" s="350"/>
      <c r="N588" s="350"/>
      <c r="O588" s="295"/>
      <c r="P588" s="295"/>
      <c r="Q588" s="295"/>
      <c r="R588" s="295"/>
      <c r="S588" s="295"/>
      <c r="T588" s="295"/>
      <c r="U588" s="295"/>
    </row>
    <row r="589" spans="1:21" ht="17.25" customHeight="1">
      <c r="A589" s="402" t="s">
        <v>851</v>
      </c>
      <c r="B589" s="542" t="s">
        <v>1368</v>
      </c>
      <c r="C589" s="542"/>
      <c r="D589" s="542"/>
      <c r="E589" s="542"/>
      <c r="F589" s="542"/>
      <c r="G589" s="542"/>
      <c r="H589" s="181"/>
      <c r="I589" s="399" t="e">
        <f>I389*12.5*I533</f>
        <v>#VALUE!</v>
      </c>
      <c r="J589" s="493"/>
      <c r="K589" s="353"/>
      <c r="L589" s="350"/>
      <c r="M589" s="350"/>
      <c r="N589" s="350"/>
      <c r="O589" s="295"/>
      <c r="P589" s="295"/>
      <c r="Q589" s="295"/>
      <c r="R589" s="295"/>
      <c r="S589" s="295"/>
      <c r="T589" s="295"/>
      <c r="U589" s="295"/>
    </row>
    <row r="590" spans="1:21" ht="17.25" customHeight="1">
      <c r="A590" s="402" t="s">
        <v>852</v>
      </c>
      <c r="B590" s="542" t="s">
        <v>1369</v>
      </c>
      <c r="C590" s="542"/>
      <c r="D590" s="542"/>
      <c r="E590" s="542"/>
      <c r="F590" s="542"/>
      <c r="G590" s="542"/>
      <c r="H590" s="181"/>
      <c r="I590" s="399" t="e">
        <f>I389*12.5*I534</f>
        <v>#VALUE!</v>
      </c>
      <c r="J590" s="493"/>
      <c r="K590" s="353"/>
      <c r="L590" s="350"/>
      <c r="M590" s="350"/>
      <c r="N590" s="350"/>
      <c r="O590" s="295"/>
      <c r="P590" s="295"/>
      <c r="Q590" s="295"/>
      <c r="R590" s="295"/>
      <c r="S590" s="295"/>
      <c r="T590" s="295"/>
      <c r="U590" s="295"/>
    </row>
    <row r="591" spans="1:21" ht="33" customHeight="1">
      <c r="A591" s="398" t="s">
        <v>853</v>
      </c>
      <c r="B591" s="547" t="s">
        <v>1763</v>
      </c>
      <c r="C591" s="547"/>
      <c r="D591" s="547"/>
      <c r="E591" s="547"/>
      <c r="F591" s="547"/>
      <c r="G591" s="547"/>
      <c r="H591" s="181"/>
      <c r="I591" s="399" t="e">
        <f>I389*12.5*I527</f>
        <v>#VALUE!</v>
      </c>
      <c r="J591" s="493"/>
      <c r="K591" s="351"/>
      <c r="L591" s="350"/>
      <c r="M591" s="350"/>
      <c r="N591" s="350"/>
      <c r="O591" s="295"/>
      <c r="P591" s="354"/>
      <c r="Q591" s="354"/>
      <c r="R591" s="354"/>
      <c r="S591" s="295"/>
      <c r="T591" s="295"/>
      <c r="U591" s="295"/>
    </row>
    <row r="592" spans="1:21" ht="17.25" customHeight="1">
      <c r="A592" s="402" t="s">
        <v>854</v>
      </c>
      <c r="B592" s="542" t="s">
        <v>1131</v>
      </c>
      <c r="C592" s="542"/>
      <c r="D592" s="542"/>
      <c r="E592" s="542"/>
      <c r="F592" s="542"/>
      <c r="G592" s="542"/>
      <c r="H592" s="181"/>
      <c r="I592" s="399" t="e">
        <f>I389*12.5*I536</f>
        <v>#VALUE!</v>
      </c>
      <c r="J592" s="493"/>
      <c r="K592" s="353"/>
      <c r="L592" s="350"/>
      <c r="M592" s="350"/>
      <c r="N592" s="350"/>
      <c r="O592" s="295"/>
      <c r="P592" s="354"/>
      <c r="Q592" s="354"/>
      <c r="R592" s="354"/>
      <c r="S592" s="295"/>
      <c r="T592" s="295"/>
      <c r="U592" s="295"/>
    </row>
    <row r="593" spans="1:21" ht="17.25" customHeight="1">
      <c r="A593" s="402" t="s">
        <v>855</v>
      </c>
      <c r="B593" s="542" t="s">
        <v>1370</v>
      </c>
      <c r="C593" s="542"/>
      <c r="D593" s="542"/>
      <c r="E593" s="542"/>
      <c r="F593" s="542"/>
      <c r="G593" s="542"/>
      <c r="H593" s="181"/>
      <c r="I593" s="399">
        <f>12.5*I389*I537</f>
        <v>0</v>
      </c>
      <c r="J593" s="493"/>
      <c r="K593" s="351"/>
      <c r="L593" s="350"/>
      <c r="M593" s="350"/>
      <c r="N593" s="350"/>
      <c r="O593" s="295"/>
      <c r="P593" s="295"/>
      <c r="Q593" s="295"/>
      <c r="R593" s="295"/>
      <c r="S593" s="295"/>
      <c r="T593" s="295"/>
      <c r="U593" s="295"/>
    </row>
    <row r="594" spans="1:21" ht="33" customHeight="1" thickBot="1">
      <c r="A594" s="355" t="s">
        <v>633</v>
      </c>
      <c r="B594" s="548" t="s">
        <v>1764</v>
      </c>
      <c r="C594" s="548"/>
      <c r="D594" s="548"/>
      <c r="E594" s="548"/>
      <c r="F594" s="548"/>
      <c r="G594" s="548"/>
      <c r="H594" s="181"/>
      <c r="I594" s="309">
        <f>I595+I598</f>
        <v>0</v>
      </c>
      <c r="J594" s="280">
        <v>1078</v>
      </c>
      <c r="K594" s="5"/>
      <c r="L594" s="350"/>
      <c r="M594" s="350"/>
      <c r="N594" s="228"/>
      <c r="O594" s="295"/>
      <c r="P594" s="295"/>
      <c r="Q594" s="295"/>
      <c r="R594" s="295"/>
      <c r="S594" s="295"/>
      <c r="T594" s="295"/>
      <c r="U594" s="295"/>
    </row>
    <row r="595" spans="1:21" ht="17.25" customHeight="1" thickTop="1" thickBot="1">
      <c r="A595" s="356" t="s">
        <v>634</v>
      </c>
      <c r="B595" s="544" t="s">
        <v>585</v>
      </c>
      <c r="C595" s="544"/>
      <c r="D595" s="544"/>
      <c r="E595" s="544"/>
      <c r="F595" s="544"/>
      <c r="G595" s="544"/>
      <c r="H595" s="181"/>
      <c r="I595" s="309">
        <f>I596*I597</f>
        <v>0</v>
      </c>
      <c r="J595" s="280">
        <v>1079</v>
      </c>
      <c r="K595" s="5"/>
      <c r="L595" s="350"/>
      <c r="M595" s="350"/>
      <c r="N595" s="228"/>
      <c r="O595" s="295"/>
      <c r="P595" s="295"/>
      <c r="Q595" s="295"/>
      <c r="R595" s="295"/>
      <c r="S595" s="295"/>
      <c r="T595" s="295"/>
      <c r="U595" s="295"/>
    </row>
    <row r="596" spans="1:21" ht="17.25" customHeight="1" thickTop="1">
      <c r="A596" s="356" t="s">
        <v>635</v>
      </c>
      <c r="B596" s="561" t="s">
        <v>586</v>
      </c>
      <c r="C596" s="561"/>
      <c r="D596" s="561"/>
      <c r="E596" s="561"/>
      <c r="F596" s="561"/>
      <c r="G596" s="561"/>
      <c r="H596" s="181"/>
      <c r="I596" s="186"/>
      <c r="J596" s="280">
        <v>1080</v>
      </c>
      <c r="K596" s="5"/>
      <c r="L596" s="286" t="str">
        <f>IF(I596&gt;=0,"OK","ERROR")</f>
        <v>OK</v>
      </c>
      <c r="M596" s="350"/>
      <c r="N596" s="228"/>
      <c r="O596" s="295"/>
      <c r="P596" s="295"/>
      <c r="Q596" s="295"/>
      <c r="R596" s="295"/>
      <c r="S596" s="295"/>
      <c r="T596" s="295"/>
      <c r="U596" s="295"/>
    </row>
    <row r="597" spans="1:21" ht="17.25" customHeight="1">
      <c r="A597" s="356" t="s">
        <v>636</v>
      </c>
      <c r="B597" s="561" t="s">
        <v>587</v>
      </c>
      <c r="C597" s="561"/>
      <c r="D597" s="561"/>
      <c r="E597" s="561"/>
      <c r="F597" s="561"/>
      <c r="G597" s="561"/>
      <c r="H597" s="181"/>
      <c r="I597" s="397"/>
      <c r="J597" s="280">
        <v>1081</v>
      </c>
      <c r="K597" s="5"/>
      <c r="L597" s="286" t="str">
        <f>IF(I597&gt;=0,"OK","ERROR")</f>
        <v>OK</v>
      </c>
      <c r="M597" s="350"/>
      <c r="N597" s="228"/>
      <c r="O597" s="295"/>
      <c r="P597" s="295"/>
      <c r="Q597" s="295"/>
      <c r="R597" s="295"/>
      <c r="S597" s="295"/>
      <c r="T597" s="295"/>
      <c r="U597" s="295"/>
    </row>
    <row r="598" spans="1:21" ht="17.25" customHeight="1" thickBot="1">
      <c r="A598" s="356" t="s">
        <v>1237</v>
      </c>
      <c r="B598" s="539" t="s">
        <v>1132</v>
      </c>
      <c r="C598" s="539"/>
      <c r="D598" s="539"/>
      <c r="E598" s="539"/>
      <c r="F598" s="539"/>
      <c r="G598" s="539"/>
      <c r="H598" s="181"/>
      <c r="I598" s="279">
        <f>I599*I600</f>
        <v>0</v>
      </c>
      <c r="J598" s="280">
        <v>1082</v>
      </c>
      <c r="K598" s="5"/>
      <c r="L598" s="350"/>
      <c r="M598" s="350"/>
      <c r="N598" s="228"/>
      <c r="O598" s="295"/>
      <c r="P598" s="295"/>
      <c r="Q598" s="295"/>
      <c r="R598" s="295"/>
      <c r="S598" s="295"/>
      <c r="T598" s="295"/>
      <c r="U598" s="295"/>
    </row>
    <row r="599" spans="1:21" ht="17.25" customHeight="1" thickTop="1">
      <c r="A599" s="356" t="s">
        <v>857</v>
      </c>
      <c r="B599" s="561" t="s">
        <v>858</v>
      </c>
      <c r="C599" s="561"/>
      <c r="D599" s="561"/>
      <c r="E599" s="561"/>
      <c r="F599" s="561"/>
      <c r="G599" s="561"/>
      <c r="H599" s="181"/>
      <c r="I599" s="186"/>
      <c r="J599" s="280">
        <v>1345</v>
      </c>
      <c r="K599" s="310"/>
      <c r="L599" s="286" t="str">
        <f>IF(I599&gt;=0,"OK","ERROR")</f>
        <v>OK</v>
      </c>
      <c r="M599" s="350"/>
      <c r="N599" s="228"/>
      <c r="O599" s="295"/>
      <c r="P599" s="295"/>
      <c r="Q599" s="295"/>
      <c r="R599" s="295"/>
      <c r="S599" s="295"/>
      <c r="T599" s="295"/>
      <c r="U599" s="295"/>
    </row>
    <row r="600" spans="1:21" ht="17.25" customHeight="1">
      <c r="A600" s="356" t="s">
        <v>859</v>
      </c>
      <c r="B600" s="561" t="s">
        <v>860</v>
      </c>
      <c r="C600" s="561"/>
      <c r="D600" s="561"/>
      <c r="E600" s="561"/>
      <c r="F600" s="561"/>
      <c r="G600" s="561"/>
      <c r="H600" s="181"/>
      <c r="I600" s="397"/>
      <c r="J600" s="280">
        <v>1346</v>
      </c>
      <c r="K600" s="310"/>
      <c r="L600" s="286" t="str">
        <f>IF(I600&gt;=0,"OK","ERROR")</f>
        <v>OK</v>
      </c>
      <c r="M600" s="350"/>
      <c r="N600" s="228"/>
      <c r="O600" s="295"/>
      <c r="P600" s="295"/>
      <c r="Q600" s="295"/>
      <c r="R600" s="295"/>
      <c r="S600" s="295"/>
      <c r="T600" s="295"/>
      <c r="U600" s="295"/>
    </row>
    <row r="601" spans="1:21" ht="33" customHeight="1" thickBot="1">
      <c r="A601" s="355" t="s">
        <v>637</v>
      </c>
      <c r="B601" s="548" t="s">
        <v>1765</v>
      </c>
      <c r="C601" s="555"/>
      <c r="D601" s="555"/>
      <c r="E601" s="555"/>
      <c r="F601" s="555"/>
      <c r="G601" s="555"/>
      <c r="H601" s="181"/>
      <c r="I601" s="309">
        <f>I602+I606</f>
        <v>0</v>
      </c>
      <c r="J601" s="280">
        <v>494</v>
      </c>
      <c r="K601" s="5"/>
      <c r="L601" s="350"/>
      <c r="M601" s="350"/>
      <c r="N601" s="228"/>
      <c r="O601" s="295"/>
      <c r="P601" s="295"/>
      <c r="Q601" s="295"/>
      <c r="R601" s="295"/>
      <c r="S601" s="295"/>
      <c r="T601" s="295"/>
      <c r="U601" s="295"/>
    </row>
    <row r="602" spans="1:21" ht="17.25" customHeight="1" thickTop="1" thickBot="1">
      <c r="A602" s="356" t="s">
        <v>638</v>
      </c>
      <c r="B602" s="544" t="s">
        <v>1600</v>
      </c>
      <c r="C602" s="544"/>
      <c r="D602" s="544"/>
      <c r="E602" s="544"/>
      <c r="F602" s="544"/>
      <c r="G602" s="544"/>
      <c r="H602" s="181"/>
      <c r="I602" s="309">
        <f>I604+I605</f>
        <v>0</v>
      </c>
      <c r="J602" s="280">
        <v>495</v>
      </c>
      <c r="K602" s="5"/>
      <c r="L602" s="350"/>
      <c r="M602" s="350"/>
      <c r="N602" s="350"/>
      <c r="O602" s="295"/>
      <c r="P602" s="295"/>
      <c r="Q602" s="295"/>
      <c r="R602" s="295"/>
      <c r="S602" s="295"/>
      <c r="T602" s="295"/>
      <c r="U602" s="295"/>
    </row>
    <row r="603" spans="1:21" ht="7.5" customHeight="1" thickTop="1">
      <c r="A603" s="345"/>
      <c r="B603" s="556"/>
      <c r="C603" s="556"/>
      <c r="D603" s="556"/>
      <c r="E603" s="556"/>
      <c r="F603" s="556"/>
      <c r="G603" s="556"/>
      <c r="H603" s="181"/>
      <c r="I603" s="282"/>
      <c r="J603" s="280"/>
      <c r="K603" s="5"/>
      <c r="L603" s="350"/>
      <c r="M603" s="350"/>
      <c r="N603" s="350"/>
      <c r="O603" s="295"/>
      <c r="P603" s="295"/>
      <c r="Q603" s="295"/>
      <c r="R603" s="295"/>
      <c r="S603" s="295"/>
      <c r="T603" s="295"/>
      <c r="U603" s="295"/>
    </row>
    <row r="604" spans="1:21" ht="17.25" customHeight="1">
      <c r="A604" s="356" t="s">
        <v>861</v>
      </c>
      <c r="B604" s="558" t="s">
        <v>1133</v>
      </c>
      <c r="C604" s="558"/>
      <c r="D604" s="558"/>
      <c r="E604" s="558"/>
      <c r="F604" s="558"/>
      <c r="G604" s="558"/>
      <c r="H604" s="181"/>
      <c r="I604" s="186"/>
      <c r="J604" s="280">
        <v>496</v>
      </c>
      <c r="K604" s="5"/>
      <c r="L604" s="286" t="str">
        <f>IF(I604&gt;=0,"OK","ERROR")</f>
        <v>OK</v>
      </c>
      <c r="M604" s="350"/>
      <c r="N604" s="350"/>
      <c r="O604" s="295"/>
      <c r="P604" s="295"/>
      <c r="Q604" s="295"/>
      <c r="R604" s="295"/>
      <c r="S604" s="295"/>
      <c r="T604" s="295"/>
      <c r="U604" s="295"/>
    </row>
    <row r="605" spans="1:21" ht="17.25" customHeight="1">
      <c r="A605" s="356" t="s">
        <v>862</v>
      </c>
      <c r="B605" s="557" t="s">
        <v>1371</v>
      </c>
      <c r="C605" s="557"/>
      <c r="D605" s="557"/>
      <c r="E605" s="557"/>
      <c r="F605" s="557"/>
      <c r="G605" s="557"/>
      <c r="H605" s="181"/>
      <c r="I605" s="186"/>
      <c r="J605" s="280">
        <v>1083</v>
      </c>
      <c r="K605" s="5"/>
      <c r="L605" s="286" t="str">
        <f>IF(I605&gt;=0,"OK","ERROR")</f>
        <v>OK</v>
      </c>
      <c r="M605" s="350"/>
      <c r="N605" s="350"/>
      <c r="O605" s="295"/>
      <c r="P605" s="295"/>
      <c r="Q605" s="295"/>
      <c r="R605" s="295"/>
      <c r="S605" s="295"/>
      <c r="T605" s="295"/>
      <c r="U605" s="295"/>
    </row>
    <row r="606" spans="1:21" ht="17.25" customHeight="1" thickBot="1">
      <c r="A606" s="356" t="s">
        <v>863</v>
      </c>
      <c r="B606" s="539" t="s">
        <v>1134</v>
      </c>
      <c r="C606" s="539"/>
      <c r="D606" s="539"/>
      <c r="E606" s="539"/>
      <c r="F606" s="539"/>
      <c r="G606" s="539"/>
      <c r="H606" s="181"/>
      <c r="I606" s="309">
        <f>I607+I608</f>
        <v>0</v>
      </c>
      <c r="J606" s="280">
        <v>499</v>
      </c>
      <c r="K606" s="5"/>
      <c r="L606" s="286" t="str">
        <f>IF(I606&gt;=0,"OK","ERROR")</f>
        <v>OK</v>
      </c>
      <c r="M606" s="350"/>
      <c r="N606" s="350"/>
      <c r="O606" s="295"/>
      <c r="P606" s="295"/>
      <c r="Q606" s="295"/>
      <c r="R606" s="295"/>
      <c r="S606" s="295"/>
      <c r="T606" s="295"/>
      <c r="U606" s="295"/>
    </row>
    <row r="607" spans="1:21" ht="17.25" customHeight="1" thickTop="1">
      <c r="A607" s="356" t="s">
        <v>865</v>
      </c>
      <c r="B607" s="558" t="s">
        <v>1133</v>
      </c>
      <c r="C607" s="558"/>
      <c r="D607" s="558"/>
      <c r="E607" s="558"/>
      <c r="F607" s="558"/>
      <c r="G607" s="558"/>
      <c r="H607" s="181"/>
      <c r="I607" s="186"/>
      <c r="J607" s="280">
        <v>500</v>
      </c>
      <c r="K607" s="5"/>
      <c r="L607" s="286" t="str">
        <f>IF(AND(I607&gt;=0,I607&lt;=$I$606),"OK","ERROR")</f>
        <v>OK</v>
      </c>
      <c r="M607" s="350"/>
      <c r="N607" s="350"/>
      <c r="O607" s="295"/>
      <c r="P607" s="295"/>
      <c r="Q607" s="295"/>
      <c r="R607" s="295"/>
      <c r="S607" s="295"/>
      <c r="T607" s="295"/>
      <c r="U607" s="295"/>
    </row>
    <row r="608" spans="1:21" ht="17.25" customHeight="1">
      <c r="A608" s="356" t="s">
        <v>864</v>
      </c>
      <c r="B608" s="557" t="s">
        <v>1372</v>
      </c>
      <c r="C608" s="557"/>
      <c r="D608" s="557"/>
      <c r="E608" s="557"/>
      <c r="F608" s="557"/>
      <c r="G608" s="557"/>
      <c r="H608" s="181"/>
      <c r="I608" s="186"/>
      <c r="J608" s="280">
        <v>1085</v>
      </c>
      <c r="K608" s="5"/>
      <c r="L608" s="286" t="str">
        <f>IF(AND(I608&gt;=0,I608&lt;=$I$606),"OK","ERROR")</f>
        <v>OK</v>
      </c>
      <c r="M608" s="350"/>
      <c r="N608" s="350"/>
      <c r="O608" s="295"/>
      <c r="P608" s="295"/>
      <c r="Q608" s="295"/>
      <c r="R608" s="295"/>
      <c r="S608" s="295"/>
      <c r="T608" s="295"/>
      <c r="U608" s="295"/>
    </row>
    <row r="609" spans="1:21" ht="17.25" customHeight="1">
      <c r="A609" s="356" t="s">
        <v>866</v>
      </c>
      <c r="B609" s="558" t="s">
        <v>1135</v>
      </c>
      <c r="C609" s="558"/>
      <c r="D609" s="558"/>
      <c r="E609" s="558"/>
      <c r="F609" s="558"/>
      <c r="G609" s="558"/>
      <c r="H609" s="181"/>
      <c r="I609" s="186"/>
      <c r="J609" s="280">
        <v>503</v>
      </c>
      <c r="K609" s="5"/>
      <c r="L609" s="286" t="str">
        <f>IF(I609&gt;=0,"OK","ERROR")</f>
        <v>OK</v>
      </c>
      <c r="M609" s="350"/>
      <c r="N609" s="350"/>
      <c r="O609" s="295"/>
      <c r="P609" s="295"/>
      <c r="Q609" s="295"/>
      <c r="R609" s="295"/>
      <c r="S609" s="295"/>
      <c r="T609" s="295"/>
      <c r="U609" s="295"/>
    </row>
    <row r="610" spans="1:21" ht="17.25" customHeight="1">
      <c r="A610" s="356" t="s">
        <v>867</v>
      </c>
      <c r="B610" s="557" t="s">
        <v>1136</v>
      </c>
      <c r="C610" s="557"/>
      <c r="D610" s="557"/>
      <c r="E610" s="557"/>
      <c r="F610" s="557"/>
      <c r="G610" s="557"/>
      <c r="H610" s="181"/>
      <c r="I610" s="186"/>
      <c r="J610" s="280">
        <v>504</v>
      </c>
      <c r="K610" s="5"/>
      <c r="L610" s="286" t="str">
        <f>IF(I610&gt;=0,"OK","ERROR")</f>
        <v>OK</v>
      </c>
      <c r="M610" s="350"/>
      <c r="N610" s="350"/>
      <c r="O610" s="295"/>
      <c r="P610" s="295"/>
      <c r="Q610" s="295"/>
      <c r="R610" s="295"/>
      <c r="S610" s="295"/>
      <c r="T610" s="295"/>
      <c r="U610" s="295"/>
    </row>
    <row r="611" spans="1:21" ht="17.25" customHeight="1">
      <c r="A611" s="356" t="s">
        <v>868</v>
      </c>
      <c r="B611" s="557" t="s">
        <v>1137</v>
      </c>
      <c r="C611" s="557"/>
      <c r="D611" s="557"/>
      <c r="E611" s="557"/>
      <c r="F611" s="557"/>
      <c r="G611" s="557"/>
      <c r="H611" s="181"/>
      <c r="I611" s="186"/>
      <c r="J611" s="280">
        <v>505</v>
      </c>
      <c r="K611" s="5"/>
      <c r="L611" s="286" t="str">
        <f>IF(I611&gt;=0,"OK","ERROR")</f>
        <v>OK</v>
      </c>
      <c r="M611" s="350"/>
      <c r="N611" s="350"/>
      <c r="O611" s="295"/>
      <c r="P611" s="295"/>
      <c r="Q611" s="295"/>
      <c r="R611" s="295"/>
      <c r="S611" s="295"/>
      <c r="T611" s="295"/>
      <c r="U611" s="295"/>
    </row>
    <row r="612" spans="1:21" ht="17.25" customHeight="1">
      <c r="A612" s="356" t="s">
        <v>869</v>
      </c>
      <c r="B612" s="557" t="s">
        <v>1138</v>
      </c>
      <c r="C612" s="557"/>
      <c r="D612" s="557"/>
      <c r="E612" s="557"/>
      <c r="F612" s="557"/>
      <c r="G612" s="557"/>
      <c r="H612" s="181"/>
      <c r="I612" s="186"/>
      <c r="J612" s="280">
        <v>506</v>
      </c>
      <c r="K612" s="5"/>
      <c r="L612" s="286" t="str">
        <f>IF(I612&gt;=0,"OK","ERROR")</f>
        <v>OK</v>
      </c>
      <c r="M612" s="350"/>
      <c r="N612" s="350"/>
      <c r="O612" s="295"/>
      <c r="P612" s="295"/>
      <c r="Q612" s="295"/>
      <c r="R612" s="295"/>
      <c r="S612" s="295"/>
      <c r="T612" s="295"/>
      <c r="U612" s="295"/>
    </row>
    <row r="613" spans="1:21" ht="17.25" customHeight="1">
      <c r="A613" s="356" t="s">
        <v>870</v>
      </c>
      <c r="B613" s="557" t="s">
        <v>1139</v>
      </c>
      <c r="C613" s="557"/>
      <c r="D613" s="557"/>
      <c r="E613" s="557"/>
      <c r="F613" s="557"/>
      <c r="G613" s="557"/>
      <c r="H613" s="181"/>
      <c r="I613" s="186"/>
      <c r="J613" s="280">
        <v>507</v>
      </c>
      <c r="K613" s="5"/>
      <c r="L613" s="286" t="str">
        <f>IF(I613&gt;=0,"OK","ERROR")</f>
        <v>OK</v>
      </c>
      <c r="M613" s="350"/>
      <c r="N613" s="350"/>
      <c r="O613" s="295"/>
      <c r="P613" s="295"/>
      <c r="Q613" s="295"/>
      <c r="R613" s="295"/>
      <c r="S613" s="295"/>
      <c r="T613" s="295"/>
      <c r="U613" s="295"/>
    </row>
    <row r="614" spans="1:21" ht="17.25" customHeight="1" thickBot="1">
      <c r="A614" s="355" t="s">
        <v>871</v>
      </c>
      <c r="B614" s="555" t="s">
        <v>1766</v>
      </c>
      <c r="C614" s="555"/>
      <c r="D614" s="555"/>
      <c r="E614" s="555"/>
      <c r="F614" s="555"/>
      <c r="G614" s="555"/>
      <c r="H614" s="181"/>
      <c r="I614" s="279">
        <f>I616+I617</f>
        <v>0</v>
      </c>
      <c r="J614" s="280">
        <v>508</v>
      </c>
      <c r="K614" s="5"/>
      <c r="L614" s="286" t="str">
        <f>IF(I614&lt;=0,"OK","ERROR")</f>
        <v>OK</v>
      </c>
      <c r="M614" s="350"/>
      <c r="N614" s="350"/>
      <c r="O614" s="295"/>
      <c r="P614" s="295"/>
      <c r="Q614" s="295"/>
      <c r="R614" s="295"/>
      <c r="S614" s="295"/>
      <c r="T614" s="295"/>
      <c r="U614" s="295"/>
    </row>
    <row r="615" spans="1:21" ht="7.5" customHeight="1" thickTop="1">
      <c r="A615" s="345"/>
      <c r="B615" s="559"/>
      <c r="C615" s="559"/>
      <c r="D615" s="559"/>
      <c r="E615" s="559"/>
      <c r="F615" s="559"/>
      <c r="G615" s="559"/>
      <c r="H615" s="181"/>
      <c r="I615" s="335"/>
      <c r="J615" s="280"/>
      <c r="K615" s="6"/>
      <c r="L615" s="490"/>
      <c r="M615" s="350"/>
      <c r="N615" s="350"/>
      <c r="O615" s="295"/>
      <c r="P615" s="295"/>
      <c r="Q615" s="295"/>
      <c r="R615" s="295"/>
      <c r="S615" s="295"/>
      <c r="T615" s="295"/>
      <c r="U615" s="295"/>
    </row>
    <row r="616" spans="1:21" ht="17.25" customHeight="1">
      <c r="A616" s="356" t="s">
        <v>872</v>
      </c>
      <c r="B616" s="544" t="s">
        <v>455</v>
      </c>
      <c r="C616" s="544"/>
      <c r="D616" s="544"/>
      <c r="E616" s="544"/>
      <c r="F616" s="544"/>
      <c r="G616" s="544"/>
      <c r="H616" s="181"/>
      <c r="I616" s="186"/>
      <c r="J616" s="280">
        <v>509</v>
      </c>
      <c r="K616" s="5"/>
      <c r="L616" s="286" t="str">
        <f>IF(I616&lt;=0,"OK","ERROR")</f>
        <v>OK</v>
      </c>
      <c r="M616" s="350"/>
      <c r="N616" s="350"/>
      <c r="O616" s="295"/>
      <c r="P616" s="295"/>
      <c r="Q616" s="295"/>
      <c r="R616" s="295"/>
      <c r="S616" s="295"/>
      <c r="T616" s="295"/>
      <c r="U616" s="295"/>
    </row>
    <row r="617" spans="1:21" ht="17.25" customHeight="1">
      <c r="A617" s="356" t="s">
        <v>873</v>
      </c>
      <c r="B617" s="539" t="s">
        <v>1373</v>
      </c>
      <c r="C617" s="539"/>
      <c r="D617" s="539"/>
      <c r="E617" s="539"/>
      <c r="F617" s="539"/>
      <c r="G617" s="539"/>
      <c r="H617" s="181"/>
      <c r="I617" s="186"/>
      <c r="J617" s="280">
        <v>1087</v>
      </c>
      <c r="K617" s="5"/>
      <c r="L617" s="286" t="str">
        <f>IF(I617&lt;=0,"OK","ERROR")</f>
        <v>OK</v>
      </c>
      <c r="M617" s="350"/>
      <c r="N617" s="350"/>
      <c r="O617" s="295"/>
      <c r="P617" s="295"/>
      <c r="Q617" s="295"/>
      <c r="R617" s="295"/>
      <c r="S617" s="295"/>
      <c r="T617" s="295"/>
      <c r="U617" s="295"/>
    </row>
    <row r="618" spans="1:21" ht="17.25" customHeight="1">
      <c r="A618" s="501" t="s">
        <v>1767</v>
      </c>
      <c r="B618" s="560" t="s">
        <v>1768</v>
      </c>
      <c r="C618" s="560"/>
      <c r="D618" s="560"/>
      <c r="E618" s="560"/>
      <c r="F618" s="560"/>
      <c r="G618" s="560"/>
      <c r="H618" s="181"/>
      <c r="I618" s="186"/>
      <c r="J618" s="280">
        <v>1532</v>
      </c>
      <c r="K618" s="5"/>
      <c r="L618" s="286" t="str">
        <f>IF(AND(I513="A",I618&lt;&gt;0),"ERROR",IF(I618&gt;=0,"OK","ERROR"))</f>
        <v>OK</v>
      </c>
      <c r="M618" s="350"/>
      <c r="N618" s="350"/>
      <c r="O618" s="295"/>
      <c r="P618" s="295"/>
      <c r="Q618" s="295"/>
      <c r="R618" s="295"/>
      <c r="S618" s="295"/>
      <c r="T618" s="295"/>
      <c r="U618" s="295"/>
    </row>
    <row r="619" spans="1:21" ht="33" customHeight="1">
      <c r="A619" s="400" t="s">
        <v>874</v>
      </c>
      <c r="B619" s="554" t="s">
        <v>1769</v>
      </c>
      <c r="C619" s="554"/>
      <c r="D619" s="554"/>
      <c r="E619" s="554"/>
      <c r="F619" s="554"/>
      <c r="G619" s="554"/>
      <c r="H619" s="181"/>
      <c r="I619" s="403" t="e">
        <f>I620+I622</f>
        <v>#VALUE!</v>
      </c>
      <c r="J619" s="493"/>
      <c r="K619" s="351"/>
      <c r="M619" s="350"/>
      <c r="N619" s="350"/>
      <c r="O619" s="295"/>
      <c r="P619" s="295"/>
      <c r="Q619" s="295"/>
      <c r="R619" s="295"/>
      <c r="S619" s="295"/>
      <c r="T619" s="295"/>
      <c r="U619" s="295"/>
    </row>
    <row r="620" spans="1:21" ht="33" customHeight="1">
      <c r="A620" s="400" t="s">
        <v>875</v>
      </c>
      <c r="B620" s="547" t="s">
        <v>1654</v>
      </c>
      <c r="C620" s="547"/>
      <c r="D620" s="547"/>
      <c r="E620" s="547"/>
      <c r="F620" s="547"/>
      <c r="G620" s="547"/>
      <c r="H620" s="181"/>
      <c r="I620" s="399" t="e">
        <f>I627+I630+I634+I637+I646</f>
        <v>#VALUE!</v>
      </c>
      <c r="J620" s="493"/>
      <c r="K620" s="351"/>
      <c r="M620" s="350"/>
      <c r="N620" s="350"/>
      <c r="O620" s="295"/>
      <c r="P620" s="295"/>
      <c r="Q620" s="295"/>
      <c r="R620" s="295"/>
      <c r="S620" s="295"/>
      <c r="T620" s="295"/>
      <c r="U620" s="295"/>
    </row>
    <row r="621" spans="1:21" ht="17.25" customHeight="1">
      <c r="A621" s="401" t="s">
        <v>876</v>
      </c>
      <c r="B621" s="542" t="s">
        <v>1364</v>
      </c>
      <c r="C621" s="542"/>
      <c r="D621" s="542"/>
      <c r="E621" s="542"/>
      <c r="F621" s="542"/>
      <c r="G621" s="542"/>
      <c r="H621" s="181"/>
      <c r="I621" s="399">
        <f>I684-I685</f>
        <v>0</v>
      </c>
      <c r="J621" s="493"/>
      <c r="K621" s="351"/>
      <c r="M621" s="350"/>
      <c r="N621" s="350"/>
      <c r="O621" s="295"/>
      <c r="P621" s="295"/>
      <c r="Q621" s="295"/>
      <c r="R621" s="295"/>
      <c r="S621" s="295"/>
      <c r="T621" s="295"/>
      <c r="U621" s="295"/>
    </row>
    <row r="622" spans="1:21" ht="33" customHeight="1">
      <c r="A622" s="400" t="s">
        <v>877</v>
      </c>
      <c r="B622" s="547" t="s">
        <v>1655</v>
      </c>
      <c r="C622" s="547"/>
      <c r="D622" s="547"/>
      <c r="E622" s="547"/>
      <c r="F622" s="547"/>
      <c r="G622" s="547"/>
      <c r="H622" s="181"/>
      <c r="I622" s="399" t="e">
        <f>I628+I635+I638+I647</f>
        <v>#VALUE!</v>
      </c>
      <c r="J622" s="493"/>
      <c r="K622" s="351"/>
      <c r="M622" s="350"/>
      <c r="N622" s="350"/>
      <c r="O622" s="295"/>
      <c r="P622" s="295"/>
      <c r="Q622" s="295"/>
      <c r="R622" s="295"/>
      <c r="S622" s="295"/>
      <c r="T622" s="295"/>
      <c r="U622" s="295"/>
    </row>
    <row r="623" spans="1:21" ht="17.25" customHeight="1">
      <c r="A623" s="401" t="s">
        <v>878</v>
      </c>
      <c r="B623" s="542" t="s">
        <v>1365</v>
      </c>
      <c r="C623" s="542"/>
      <c r="D623" s="542"/>
      <c r="E623" s="542"/>
      <c r="F623" s="542"/>
      <c r="G623" s="542"/>
      <c r="H623" s="181"/>
      <c r="I623" s="399">
        <f>I685</f>
        <v>0</v>
      </c>
      <c r="J623" s="493"/>
      <c r="K623" s="351"/>
      <c r="M623" s="350"/>
      <c r="N623" s="350"/>
      <c r="O623" s="295"/>
      <c r="P623" s="295"/>
      <c r="Q623" s="295"/>
      <c r="R623" s="295"/>
      <c r="S623" s="295"/>
      <c r="T623" s="295"/>
      <c r="U623" s="295"/>
    </row>
    <row r="624" spans="1:21" ht="17.25" customHeight="1">
      <c r="A624" s="401" t="s">
        <v>879</v>
      </c>
      <c r="B624" s="542" t="s">
        <v>1366</v>
      </c>
      <c r="C624" s="542"/>
      <c r="D624" s="542"/>
      <c r="E624" s="542"/>
      <c r="F624" s="542"/>
      <c r="G624" s="542"/>
      <c r="H624" s="181"/>
      <c r="I624" s="399">
        <f>I686</f>
        <v>0</v>
      </c>
      <c r="J624" s="493"/>
      <c r="K624" s="350"/>
      <c r="L624" s="350"/>
      <c r="M624" s="350"/>
      <c r="N624" s="350"/>
      <c r="O624" s="354"/>
      <c r="P624" s="295"/>
      <c r="Q624" s="295"/>
      <c r="R624" s="295"/>
      <c r="S624" s="295"/>
      <c r="T624" s="295"/>
      <c r="U624" s="295"/>
    </row>
    <row r="625" spans="1:21" ht="17.25" customHeight="1">
      <c r="A625" s="401" t="s">
        <v>880</v>
      </c>
      <c r="B625" s="542" t="s">
        <v>1367</v>
      </c>
      <c r="C625" s="542"/>
      <c r="D625" s="542"/>
      <c r="E625" s="542"/>
      <c r="F625" s="542"/>
      <c r="G625" s="542"/>
      <c r="H625" s="181"/>
      <c r="I625" s="399">
        <f>I687</f>
        <v>0</v>
      </c>
      <c r="J625" s="493"/>
      <c r="K625" s="350"/>
      <c r="L625" s="350"/>
      <c r="M625" s="350"/>
      <c r="N625" s="350"/>
      <c r="O625" s="295"/>
      <c r="P625" s="295"/>
      <c r="Q625" s="295"/>
      <c r="R625" s="295"/>
      <c r="S625" s="295"/>
      <c r="T625" s="295"/>
      <c r="U625" s="295"/>
    </row>
    <row r="626" spans="1:21" ht="33" customHeight="1">
      <c r="A626" s="400" t="s">
        <v>881</v>
      </c>
      <c r="B626" s="547" t="s">
        <v>1770</v>
      </c>
      <c r="C626" s="547"/>
      <c r="D626" s="547"/>
      <c r="E626" s="547"/>
      <c r="F626" s="547"/>
      <c r="G626" s="547"/>
      <c r="H626" s="181"/>
      <c r="I626" s="471">
        <f>I548*(I502-I504)</f>
        <v>0</v>
      </c>
      <c r="J626" s="493"/>
      <c r="K626" s="351"/>
      <c r="L626" s="357"/>
      <c r="M626" s="350"/>
      <c r="N626" s="350"/>
      <c r="O626" s="295"/>
      <c r="P626" s="295"/>
      <c r="Q626" s="295"/>
      <c r="R626" s="295"/>
      <c r="S626" s="295"/>
      <c r="T626" s="295"/>
      <c r="U626" s="295"/>
    </row>
    <row r="627" spans="1:21" ht="17.25" customHeight="1">
      <c r="A627" s="401" t="s">
        <v>882</v>
      </c>
      <c r="B627" s="542" t="s">
        <v>1374</v>
      </c>
      <c r="C627" s="542"/>
      <c r="D627" s="542"/>
      <c r="E627" s="542"/>
      <c r="F627" s="542"/>
      <c r="G627" s="542"/>
      <c r="H627" s="181"/>
      <c r="I627" s="471" t="e">
        <f>I549*(I502-I504)</f>
        <v>#VALUE!</v>
      </c>
      <c r="J627" s="493"/>
      <c r="K627" s="351"/>
      <c r="L627" s="357"/>
      <c r="M627" s="350"/>
      <c r="N627" s="350"/>
      <c r="O627" s="295"/>
      <c r="P627" s="295"/>
      <c r="Q627" s="295"/>
      <c r="R627" s="295"/>
      <c r="S627" s="295"/>
      <c r="T627" s="295"/>
      <c r="U627" s="295"/>
    </row>
    <row r="628" spans="1:21" ht="17.25" customHeight="1">
      <c r="A628" s="401" t="s">
        <v>883</v>
      </c>
      <c r="B628" s="542" t="s">
        <v>1375</v>
      </c>
      <c r="C628" s="542"/>
      <c r="D628" s="542"/>
      <c r="E628" s="542"/>
      <c r="F628" s="542"/>
      <c r="G628" s="542"/>
      <c r="H628" s="181"/>
      <c r="I628" s="471" t="e">
        <f>I550*(I502-I504)</f>
        <v>#VALUE!</v>
      </c>
      <c r="J628" s="493"/>
      <c r="K628" s="351"/>
      <c r="L628" s="357"/>
      <c r="M628" s="350"/>
      <c r="N628" s="350"/>
      <c r="O628" s="295"/>
      <c r="P628" s="295"/>
      <c r="Q628" s="295"/>
      <c r="R628" s="295"/>
      <c r="S628" s="295"/>
      <c r="T628" s="295"/>
      <c r="U628" s="295"/>
    </row>
    <row r="629" spans="1:21" ht="33" customHeight="1">
      <c r="A629" s="400" t="s">
        <v>884</v>
      </c>
      <c r="B629" s="547" t="s">
        <v>1771</v>
      </c>
      <c r="C629" s="547"/>
      <c r="D629" s="547"/>
      <c r="E629" s="547"/>
      <c r="F629" s="547"/>
      <c r="G629" s="547"/>
      <c r="H629" s="181"/>
      <c r="I629" s="471" t="e">
        <f>I551*(I502-I504)</f>
        <v>#VALUE!</v>
      </c>
      <c r="J629" s="493"/>
      <c r="K629" s="5"/>
      <c r="M629" s="350"/>
      <c r="N629" s="350"/>
      <c r="O629" s="295"/>
      <c r="P629" s="295"/>
      <c r="Q629" s="295"/>
      <c r="R629" s="295"/>
      <c r="S629" s="295"/>
      <c r="T629" s="295"/>
      <c r="U629" s="295"/>
    </row>
    <row r="630" spans="1:21" ht="17.25" customHeight="1">
      <c r="A630" s="401" t="s">
        <v>885</v>
      </c>
      <c r="B630" s="542" t="s">
        <v>1131</v>
      </c>
      <c r="C630" s="542"/>
      <c r="D630" s="542"/>
      <c r="E630" s="542"/>
      <c r="F630" s="542"/>
      <c r="G630" s="542"/>
      <c r="H630" s="181"/>
      <c r="I630" s="472" t="e">
        <f>I552*(I502-I504)</f>
        <v>#VALUE!</v>
      </c>
      <c r="J630" s="493"/>
      <c r="K630" s="5"/>
      <c r="M630" s="350"/>
      <c r="N630" s="350"/>
      <c r="O630" s="295"/>
      <c r="P630" s="295"/>
      <c r="Q630" s="295"/>
      <c r="R630" s="295"/>
      <c r="S630" s="295"/>
      <c r="T630" s="295"/>
      <c r="U630" s="295"/>
    </row>
    <row r="631" spans="1:21" ht="33" customHeight="1" thickBot="1">
      <c r="A631" s="473" t="s">
        <v>1376</v>
      </c>
      <c r="B631" s="555" t="s">
        <v>1765</v>
      </c>
      <c r="C631" s="555"/>
      <c r="D631" s="555"/>
      <c r="E631" s="555"/>
      <c r="F631" s="555"/>
      <c r="G631" s="555"/>
      <c r="H631" s="208"/>
      <c r="I631" s="449">
        <f>I632+I636</f>
        <v>0</v>
      </c>
      <c r="J631" s="280" t="s">
        <v>1377</v>
      </c>
      <c r="K631" s="6"/>
      <c r="M631" s="350"/>
      <c r="N631" s="350"/>
      <c r="O631" s="295"/>
      <c r="P631" s="295"/>
      <c r="Q631" s="295"/>
      <c r="R631" s="295"/>
      <c r="S631" s="295"/>
      <c r="T631" s="295"/>
      <c r="U631" s="295"/>
    </row>
    <row r="632" spans="1:21" ht="17.25" customHeight="1" thickTop="1" thickBot="1">
      <c r="A632" s="429" t="s">
        <v>1378</v>
      </c>
      <c r="B632" s="539" t="s">
        <v>1600</v>
      </c>
      <c r="C632" s="539"/>
      <c r="D632" s="539"/>
      <c r="E632" s="539"/>
      <c r="F632" s="539"/>
      <c r="G632" s="539"/>
      <c r="H632" s="208"/>
      <c r="I632" s="449">
        <f>I634+I635</f>
        <v>0</v>
      </c>
      <c r="J632" s="280" t="s">
        <v>1379</v>
      </c>
      <c r="K632" s="6"/>
      <c r="M632" s="350"/>
      <c r="N632" s="350"/>
      <c r="O632" s="295"/>
      <c r="P632" s="295"/>
      <c r="Q632" s="295"/>
      <c r="R632" s="295"/>
      <c r="S632" s="295"/>
      <c r="T632" s="295"/>
      <c r="U632" s="295"/>
    </row>
    <row r="633" spans="1:21" ht="7.5" customHeight="1" thickTop="1">
      <c r="A633" s="429"/>
      <c r="B633" s="556"/>
      <c r="C633" s="556"/>
      <c r="D633" s="556"/>
      <c r="E633" s="556"/>
      <c r="F633" s="556"/>
      <c r="G633" s="556"/>
      <c r="H633" s="208"/>
      <c r="I633" s="450"/>
      <c r="J633" s="280"/>
      <c r="K633" s="6"/>
      <c r="M633" s="350"/>
      <c r="N633" s="350"/>
      <c r="O633" s="295"/>
      <c r="P633" s="295"/>
      <c r="Q633" s="295"/>
      <c r="R633" s="295"/>
      <c r="S633" s="295"/>
      <c r="T633" s="295"/>
      <c r="U633" s="295"/>
    </row>
    <row r="634" spans="1:21" ht="17.25" customHeight="1">
      <c r="A634" s="429" t="s">
        <v>1380</v>
      </c>
      <c r="B634" s="558" t="s">
        <v>1133</v>
      </c>
      <c r="C634" s="558"/>
      <c r="D634" s="558"/>
      <c r="E634" s="558"/>
      <c r="F634" s="558"/>
      <c r="G634" s="558"/>
      <c r="H634" s="208"/>
      <c r="I634" s="451"/>
      <c r="J634" s="280" t="s">
        <v>1381</v>
      </c>
      <c r="K634" s="6"/>
      <c r="L634" s="115" t="str">
        <f>IF(I634&gt;=0,"OK","ERROR")</f>
        <v>OK</v>
      </c>
      <c r="M634" s="350"/>
      <c r="N634" s="350"/>
      <c r="O634" s="295"/>
      <c r="P634" s="295"/>
      <c r="Q634" s="295"/>
      <c r="R634" s="295"/>
      <c r="S634" s="295"/>
      <c r="T634" s="295"/>
      <c r="U634" s="295"/>
    </row>
    <row r="635" spans="1:21" ht="17.25" customHeight="1">
      <c r="A635" s="429" t="s">
        <v>1382</v>
      </c>
      <c r="B635" s="557" t="s">
        <v>1371</v>
      </c>
      <c r="C635" s="557"/>
      <c r="D635" s="557"/>
      <c r="E635" s="557"/>
      <c r="F635" s="557"/>
      <c r="G635" s="557"/>
      <c r="H635" s="208"/>
      <c r="I635" s="451"/>
      <c r="J635" s="280" t="s">
        <v>1383</v>
      </c>
      <c r="K635" s="6"/>
      <c r="L635" s="115" t="str">
        <f>IF(I635&gt;=0,"OK","ERROR")</f>
        <v>OK</v>
      </c>
      <c r="M635" s="350"/>
      <c r="N635" s="350"/>
      <c r="O635" s="295"/>
      <c r="P635" s="295"/>
      <c r="Q635" s="295"/>
      <c r="R635" s="295"/>
      <c r="S635" s="295"/>
      <c r="T635" s="295"/>
      <c r="U635" s="295"/>
    </row>
    <row r="636" spans="1:21" ht="17.25" customHeight="1" thickBot="1">
      <c r="A636" s="429" t="s">
        <v>1384</v>
      </c>
      <c r="B636" s="539" t="s">
        <v>1385</v>
      </c>
      <c r="C636" s="539"/>
      <c r="D636" s="539"/>
      <c r="E636" s="539"/>
      <c r="F636" s="539"/>
      <c r="G636" s="539"/>
      <c r="H636" s="208"/>
      <c r="I636" s="449">
        <f>I637+I638</f>
        <v>0</v>
      </c>
      <c r="J636" s="280" t="s">
        <v>1386</v>
      </c>
      <c r="K636" s="6"/>
      <c r="L636" s="115" t="str">
        <f>IF(I636&gt;=0,"OK","ERROR")</f>
        <v>OK</v>
      </c>
      <c r="M636" s="350"/>
      <c r="N636" s="350"/>
      <c r="O636" s="295"/>
      <c r="P636" s="295"/>
      <c r="Q636" s="295"/>
      <c r="R636" s="295"/>
      <c r="S636" s="295"/>
      <c r="T636" s="295"/>
      <c r="U636" s="295"/>
    </row>
    <row r="637" spans="1:21" ht="17.25" customHeight="1" thickTop="1">
      <c r="A637" s="429" t="s">
        <v>1387</v>
      </c>
      <c r="B637" s="557" t="s">
        <v>1133</v>
      </c>
      <c r="C637" s="557"/>
      <c r="D637" s="557"/>
      <c r="E637" s="557"/>
      <c r="F637" s="557"/>
      <c r="G637" s="557"/>
      <c r="H637" s="208"/>
      <c r="I637" s="451"/>
      <c r="J637" s="280" t="s">
        <v>1388</v>
      </c>
      <c r="K637" s="6"/>
      <c r="L637" s="115" t="str">
        <f>IF(AND(I637&gt;=0,I637&lt;=$I$606),"OK","ERROR")</f>
        <v>OK</v>
      </c>
      <c r="M637" s="350"/>
      <c r="N637" s="350"/>
      <c r="O637" s="295"/>
      <c r="P637" s="295"/>
      <c r="Q637" s="295"/>
      <c r="R637" s="295"/>
      <c r="S637" s="295"/>
      <c r="T637" s="295"/>
      <c r="U637" s="295"/>
    </row>
    <row r="638" spans="1:21" ht="17.25" customHeight="1">
      <c r="A638" s="429" t="s">
        <v>1389</v>
      </c>
      <c r="B638" s="557" t="s">
        <v>1372</v>
      </c>
      <c r="C638" s="557"/>
      <c r="D638" s="557"/>
      <c r="E638" s="557"/>
      <c r="F638" s="557"/>
      <c r="G638" s="557"/>
      <c r="H638" s="208"/>
      <c r="I638" s="451"/>
      <c r="J638" s="280" t="s">
        <v>1390</v>
      </c>
      <c r="K638" s="6"/>
      <c r="L638" s="115" t="str">
        <f>IF(AND(I638&gt;=0,I638&lt;=$I$606),"OK","ERROR")</f>
        <v>OK</v>
      </c>
      <c r="M638" s="350"/>
      <c r="N638" s="350"/>
      <c r="O638" s="295"/>
      <c r="P638" s="295"/>
      <c r="Q638" s="295"/>
      <c r="R638" s="295"/>
      <c r="S638" s="295"/>
      <c r="T638" s="295"/>
      <c r="U638" s="295"/>
    </row>
    <row r="639" spans="1:21" ht="17.25" customHeight="1">
      <c r="A639" s="429" t="s">
        <v>1391</v>
      </c>
      <c r="B639" s="557" t="s">
        <v>1135</v>
      </c>
      <c r="C639" s="557"/>
      <c r="D639" s="557"/>
      <c r="E639" s="557"/>
      <c r="F639" s="557"/>
      <c r="G639" s="557"/>
      <c r="H639" s="208"/>
      <c r="I639" s="451"/>
      <c r="J639" s="280" t="s">
        <v>1392</v>
      </c>
      <c r="K639" s="6"/>
      <c r="L639" s="115" t="str">
        <f>IF(I639&gt;=0,"OK","ERROR")</f>
        <v>OK</v>
      </c>
      <c r="M639" s="350"/>
      <c r="N639" s="350"/>
      <c r="O639" s="295"/>
      <c r="P639" s="295"/>
      <c r="Q639" s="295"/>
      <c r="R639" s="295"/>
      <c r="S639" s="295"/>
      <c r="T639" s="295"/>
      <c r="U639" s="295"/>
    </row>
    <row r="640" spans="1:21" ht="17.25" customHeight="1">
      <c r="A640" s="429" t="s">
        <v>1393</v>
      </c>
      <c r="B640" s="557" t="s">
        <v>1136</v>
      </c>
      <c r="C640" s="557"/>
      <c r="D640" s="557"/>
      <c r="E640" s="557"/>
      <c r="F640" s="557"/>
      <c r="G640" s="557"/>
      <c r="H640" s="208"/>
      <c r="I640" s="451"/>
      <c r="J640" s="280" t="s">
        <v>1394</v>
      </c>
      <c r="K640" s="6"/>
      <c r="L640" s="115" t="str">
        <f>IF(I640&gt;=0,"OK","ERROR")</f>
        <v>OK</v>
      </c>
      <c r="M640" s="350"/>
      <c r="N640" s="350"/>
      <c r="O640" s="295"/>
      <c r="P640" s="295"/>
      <c r="Q640" s="295"/>
      <c r="R640" s="295"/>
      <c r="S640" s="295"/>
      <c r="T640" s="295"/>
      <c r="U640" s="295"/>
    </row>
    <row r="641" spans="1:21" ht="17.25" customHeight="1">
      <c r="A641" s="429" t="s">
        <v>1395</v>
      </c>
      <c r="B641" s="557" t="s">
        <v>1137</v>
      </c>
      <c r="C641" s="557"/>
      <c r="D641" s="557"/>
      <c r="E641" s="557"/>
      <c r="F641" s="557"/>
      <c r="G641" s="557"/>
      <c r="H641" s="208"/>
      <c r="I641" s="451"/>
      <c r="J641" s="280" t="s">
        <v>1396</v>
      </c>
      <c r="K641" s="6"/>
      <c r="L641" s="115" t="str">
        <f>IF(I641&gt;=0,"OK","ERROR")</f>
        <v>OK</v>
      </c>
      <c r="M641" s="350"/>
      <c r="N641" s="350"/>
      <c r="O641" s="295"/>
      <c r="P641" s="295"/>
      <c r="Q641" s="295"/>
      <c r="R641" s="295"/>
      <c r="S641" s="295"/>
      <c r="T641" s="295"/>
      <c r="U641" s="295"/>
    </row>
    <row r="642" spans="1:21" ht="17.25" customHeight="1">
      <c r="A642" s="429" t="s">
        <v>1397</v>
      </c>
      <c r="B642" s="557" t="s">
        <v>1138</v>
      </c>
      <c r="C642" s="557"/>
      <c r="D642" s="557"/>
      <c r="E642" s="557"/>
      <c r="F642" s="557"/>
      <c r="G642" s="557"/>
      <c r="H642" s="208"/>
      <c r="I642" s="451"/>
      <c r="J642" s="280" t="s">
        <v>1398</v>
      </c>
      <c r="K642" s="6"/>
      <c r="L642" s="115" t="str">
        <f>IF(I642&gt;=0,"OK","ERROR")</f>
        <v>OK</v>
      </c>
      <c r="M642" s="350"/>
      <c r="N642" s="350"/>
      <c r="O642" s="295"/>
      <c r="P642" s="295"/>
      <c r="Q642" s="295"/>
      <c r="R642" s="295"/>
      <c r="S642" s="295"/>
      <c r="T642" s="295"/>
      <c r="U642" s="295"/>
    </row>
    <row r="643" spans="1:21" ht="17.25" customHeight="1">
      <c r="A643" s="429" t="s">
        <v>1399</v>
      </c>
      <c r="B643" s="557" t="s">
        <v>1139</v>
      </c>
      <c r="C643" s="557"/>
      <c r="D643" s="557"/>
      <c r="E643" s="557"/>
      <c r="F643" s="557"/>
      <c r="G643" s="557"/>
      <c r="H643" s="208"/>
      <c r="I643" s="451"/>
      <c r="J643" s="280" t="s">
        <v>1400</v>
      </c>
      <c r="K643" s="6"/>
      <c r="L643" s="115" t="str">
        <f>IF(I643&gt;=0,"OK","ERROR")</f>
        <v>OK</v>
      </c>
      <c r="M643" s="350"/>
      <c r="N643" s="350"/>
      <c r="O643" s="295"/>
      <c r="P643" s="295"/>
      <c r="Q643" s="295"/>
      <c r="R643" s="295"/>
      <c r="S643" s="295"/>
      <c r="T643" s="295"/>
      <c r="U643" s="295"/>
    </row>
    <row r="644" spans="1:21" ht="33" customHeight="1" thickBot="1">
      <c r="A644" s="473" t="s">
        <v>1401</v>
      </c>
      <c r="B644" s="555" t="s">
        <v>1766</v>
      </c>
      <c r="C644" s="555"/>
      <c r="D644" s="555"/>
      <c r="E644" s="555"/>
      <c r="F644" s="555"/>
      <c r="G644" s="555"/>
      <c r="H644" s="208"/>
      <c r="I644" s="449">
        <f>I646+I647</f>
        <v>0</v>
      </c>
      <c r="J644" s="280" t="s">
        <v>1402</v>
      </c>
      <c r="K644" s="6"/>
      <c r="L644" s="115" t="str">
        <f>IF(I644&lt;=0,"OK","ERROR")</f>
        <v>OK</v>
      </c>
      <c r="M644" s="350"/>
      <c r="N644" s="350"/>
      <c r="O644" s="295"/>
      <c r="P644" s="295"/>
      <c r="Q644" s="295"/>
      <c r="R644" s="295"/>
      <c r="S644" s="295"/>
      <c r="T644" s="295"/>
      <c r="U644" s="295"/>
    </row>
    <row r="645" spans="1:21" ht="7.5" customHeight="1" thickTop="1">
      <c r="A645" s="429"/>
      <c r="B645" s="556"/>
      <c r="C645" s="556"/>
      <c r="D645" s="556"/>
      <c r="E645" s="556"/>
      <c r="F645" s="556"/>
      <c r="G645" s="556"/>
      <c r="H645" s="208"/>
      <c r="I645" s="450"/>
      <c r="J645" s="280"/>
      <c r="K645" s="6"/>
      <c r="L645" s="490"/>
      <c r="M645" s="350"/>
      <c r="N645" s="350"/>
      <c r="O645" s="295"/>
      <c r="P645" s="295"/>
      <c r="Q645" s="295"/>
      <c r="R645" s="295"/>
      <c r="S645" s="295"/>
      <c r="T645" s="295"/>
      <c r="U645" s="295"/>
    </row>
    <row r="646" spans="1:21" ht="17.25" customHeight="1">
      <c r="A646" s="429" t="s">
        <v>1403</v>
      </c>
      <c r="B646" s="544" t="s">
        <v>455</v>
      </c>
      <c r="C646" s="544"/>
      <c r="D646" s="544"/>
      <c r="E646" s="544"/>
      <c r="F646" s="544"/>
      <c r="G646" s="544"/>
      <c r="H646" s="208"/>
      <c r="I646" s="451"/>
      <c r="J646" s="280" t="s">
        <v>1404</v>
      </c>
      <c r="K646" s="6"/>
      <c r="L646" s="115" t="str">
        <f>IF(I646&lt;=0,"OK","ERROR")</f>
        <v>OK</v>
      </c>
      <c r="M646" s="350"/>
      <c r="N646" s="350"/>
      <c r="O646" s="295"/>
      <c r="P646" s="295"/>
      <c r="Q646" s="295"/>
      <c r="R646" s="295"/>
      <c r="S646" s="295"/>
      <c r="T646" s="295"/>
      <c r="U646" s="295"/>
    </row>
    <row r="647" spans="1:21" ht="17.25" customHeight="1">
      <c r="A647" s="429" t="s">
        <v>1405</v>
      </c>
      <c r="B647" s="539" t="s">
        <v>1373</v>
      </c>
      <c r="C647" s="539"/>
      <c r="D647" s="539"/>
      <c r="E647" s="539"/>
      <c r="F647" s="539"/>
      <c r="G647" s="539"/>
      <c r="H647" s="208"/>
      <c r="I647" s="451"/>
      <c r="J647" s="280" t="s">
        <v>1406</v>
      </c>
      <c r="K647" s="6"/>
      <c r="L647" s="115" t="str">
        <f>IF(I647&lt;=0,"OK","ERROR")</f>
        <v>OK</v>
      </c>
      <c r="M647" s="350"/>
      <c r="N647" s="350"/>
      <c r="O647" s="295"/>
      <c r="P647" s="295"/>
      <c r="Q647" s="295"/>
      <c r="R647" s="295"/>
      <c r="S647" s="295"/>
      <c r="T647" s="295"/>
      <c r="U647" s="295"/>
    </row>
    <row r="648" spans="1:21" ht="33" customHeight="1">
      <c r="A648" s="502" t="s">
        <v>1772</v>
      </c>
      <c r="B648" s="555" t="s">
        <v>1768</v>
      </c>
      <c r="C648" s="555"/>
      <c r="D648" s="555"/>
      <c r="E648" s="555"/>
      <c r="F648" s="555"/>
      <c r="G648" s="555"/>
      <c r="H648" s="208"/>
      <c r="I648" s="451"/>
      <c r="J648" s="280">
        <v>1533</v>
      </c>
      <c r="K648" s="6"/>
      <c r="L648" s="115" t="str">
        <f>IF(AND(I513="A",I648&lt;&gt;0),"ERROR",IF(I648&gt;=0,"OK","ERROR"))</f>
        <v>OK</v>
      </c>
      <c r="M648" s="350"/>
      <c r="N648" s="350"/>
      <c r="O648" s="295"/>
      <c r="P648" s="295"/>
      <c r="Q648" s="295"/>
      <c r="R648" s="295"/>
      <c r="S648" s="295"/>
      <c r="T648" s="295"/>
      <c r="U648" s="295"/>
    </row>
    <row r="649" spans="1:21" s="490" customFormat="1" ht="6" customHeight="1">
      <c r="A649" s="261"/>
      <c r="B649" s="526"/>
      <c r="C649" s="526"/>
      <c r="D649" s="526"/>
      <c r="E649" s="526"/>
      <c r="F649" s="526"/>
      <c r="G649" s="526"/>
      <c r="H649" s="8"/>
      <c r="I649" s="277"/>
      <c r="J649" s="496"/>
      <c r="K649" s="6"/>
      <c r="L649" s="285"/>
      <c r="N649" s="460"/>
      <c r="O649" s="460"/>
      <c r="P649" s="460"/>
      <c r="Q649" s="460"/>
      <c r="R649" s="460"/>
      <c r="S649" s="460"/>
      <c r="T649" s="460"/>
      <c r="U649" s="460"/>
    </row>
    <row r="650" spans="1:21" ht="6" customHeight="1">
      <c r="A650" s="259"/>
      <c r="B650" s="527"/>
      <c r="C650" s="527"/>
      <c r="D650" s="527"/>
      <c r="E650" s="527"/>
      <c r="F650" s="527"/>
      <c r="G650" s="527"/>
      <c r="H650" s="134"/>
      <c r="I650" s="135"/>
      <c r="J650" s="280"/>
      <c r="K650" s="5"/>
      <c r="L650" s="285"/>
    </row>
    <row r="651" spans="1:21" ht="33" customHeight="1">
      <c r="A651" s="400" t="s">
        <v>886</v>
      </c>
      <c r="B651" s="554" t="s">
        <v>1601</v>
      </c>
      <c r="C651" s="554"/>
      <c r="D651" s="554"/>
      <c r="E651" s="554"/>
      <c r="F651" s="554"/>
      <c r="G651" s="554"/>
      <c r="H651" s="181"/>
      <c r="I651" s="399" t="e">
        <f>12.5*I389*I565</f>
        <v>#VALUE!</v>
      </c>
      <c r="J651" s="493"/>
      <c r="K651" s="5"/>
      <c r="L651" s="358"/>
      <c r="M651" s="350"/>
      <c r="N651" s="359"/>
      <c r="O651" s="295"/>
      <c r="P651" s="295"/>
      <c r="Q651" s="295"/>
      <c r="R651" s="295"/>
      <c r="S651" s="295"/>
      <c r="T651" s="295"/>
      <c r="U651" s="295"/>
    </row>
    <row r="652" spans="1:21" ht="17.25" customHeight="1">
      <c r="A652" s="401" t="s">
        <v>887</v>
      </c>
      <c r="B652" s="551" t="s">
        <v>1407</v>
      </c>
      <c r="C652" s="551"/>
      <c r="D652" s="551"/>
      <c r="E652" s="551"/>
      <c r="F652" s="551"/>
      <c r="G652" s="551"/>
      <c r="H652" s="181"/>
      <c r="I652" s="399" t="e">
        <f>I653+I660+I661</f>
        <v>#VALUE!</v>
      </c>
      <c r="J652" s="493"/>
      <c r="K652" s="5"/>
      <c r="L652" s="358"/>
      <c r="M652" s="350"/>
      <c r="N652" s="359"/>
      <c r="O652" s="295"/>
      <c r="P652" s="295"/>
      <c r="Q652" s="295"/>
      <c r="R652" s="295"/>
      <c r="S652" s="295"/>
      <c r="T652" s="295"/>
      <c r="U652" s="295"/>
    </row>
    <row r="653" spans="1:21" ht="17.25" customHeight="1">
      <c r="A653" s="401" t="s">
        <v>888</v>
      </c>
      <c r="B653" s="551" t="s">
        <v>1411</v>
      </c>
      <c r="C653" s="551"/>
      <c r="D653" s="551"/>
      <c r="E653" s="551"/>
      <c r="F653" s="551"/>
      <c r="G653" s="551"/>
      <c r="H653" s="181"/>
      <c r="I653" s="399">
        <f>SUM(I654:I659)</f>
        <v>0</v>
      </c>
      <c r="J653" s="493"/>
      <c r="K653" s="5"/>
      <c r="L653" s="490"/>
      <c r="M653" s="228"/>
      <c r="N653" s="228"/>
      <c r="O653" s="295"/>
      <c r="P653" s="295"/>
      <c r="Q653" s="295"/>
      <c r="R653" s="295"/>
      <c r="S653" s="295"/>
      <c r="T653" s="295"/>
      <c r="U653" s="295"/>
    </row>
    <row r="654" spans="1:21" ht="17.25" customHeight="1">
      <c r="A654" s="401" t="s">
        <v>889</v>
      </c>
      <c r="B654" s="542" t="s">
        <v>1656</v>
      </c>
      <c r="C654" s="542"/>
      <c r="D654" s="542"/>
      <c r="E654" s="542"/>
      <c r="F654" s="542"/>
      <c r="G654" s="542"/>
      <c r="H654" s="181"/>
      <c r="I654" s="399">
        <f t="shared" ref="I654:I659" si="29">I693</f>
        <v>0</v>
      </c>
      <c r="J654" s="493"/>
      <c r="K654" s="5"/>
      <c r="M654" s="350"/>
      <c r="N654" s="360"/>
      <c r="O654" s="295"/>
      <c r="P654" s="295"/>
      <c r="Q654" s="295"/>
      <c r="R654" s="295"/>
      <c r="S654" s="295"/>
      <c r="T654" s="295"/>
      <c r="U654" s="295"/>
    </row>
    <row r="655" spans="1:21" ht="17.25" customHeight="1">
      <c r="A655" s="401" t="s">
        <v>890</v>
      </c>
      <c r="B655" s="542" t="s">
        <v>1657</v>
      </c>
      <c r="C655" s="542"/>
      <c r="D655" s="542"/>
      <c r="E655" s="542"/>
      <c r="F655" s="542"/>
      <c r="G655" s="542"/>
      <c r="H655" s="181"/>
      <c r="I655" s="399">
        <f t="shared" si="29"/>
        <v>0</v>
      </c>
      <c r="J655" s="493"/>
      <c r="K655" s="5"/>
      <c r="M655" s="350"/>
      <c r="N655" s="360"/>
      <c r="O655" s="295"/>
      <c r="P655" s="295"/>
      <c r="Q655" s="295"/>
      <c r="R655" s="295"/>
      <c r="S655" s="295"/>
      <c r="T655" s="295"/>
      <c r="U655" s="295"/>
    </row>
    <row r="656" spans="1:21" ht="17.25" customHeight="1">
      <c r="A656" s="401" t="s">
        <v>891</v>
      </c>
      <c r="B656" s="542" t="s">
        <v>1658</v>
      </c>
      <c r="C656" s="542"/>
      <c r="D656" s="542"/>
      <c r="E656" s="542"/>
      <c r="F656" s="542"/>
      <c r="G656" s="542"/>
      <c r="H656" s="181"/>
      <c r="I656" s="399">
        <f t="shared" si="29"/>
        <v>0</v>
      </c>
      <c r="J656" s="493"/>
      <c r="K656" s="5"/>
      <c r="M656" s="350"/>
      <c r="N656" s="360"/>
      <c r="O656" s="295"/>
      <c r="P656" s="295"/>
      <c r="Q656" s="295"/>
      <c r="R656" s="295"/>
      <c r="S656" s="295"/>
      <c r="T656" s="295"/>
      <c r="U656" s="295"/>
    </row>
    <row r="657" spans="1:21" ht="17.25" customHeight="1" thickBot="1">
      <c r="A657" s="429" t="s">
        <v>1602</v>
      </c>
      <c r="B657" s="541" t="s">
        <v>1659</v>
      </c>
      <c r="C657" s="541"/>
      <c r="D657" s="541"/>
      <c r="E657" s="541"/>
      <c r="F657" s="541"/>
      <c r="G657" s="541"/>
      <c r="H657" s="181"/>
      <c r="I657" s="279">
        <f t="shared" si="29"/>
        <v>0</v>
      </c>
      <c r="J657" s="503">
        <v>1442</v>
      </c>
      <c r="K657" s="5"/>
      <c r="M657" s="350"/>
      <c r="N657" s="360"/>
      <c r="O657" s="295"/>
      <c r="P657" s="461"/>
      <c r="Q657" s="295"/>
      <c r="R657" s="295"/>
      <c r="S657" s="295"/>
      <c r="T657" s="295"/>
      <c r="U657" s="295"/>
    </row>
    <row r="658" spans="1:21" ht="17.25" customHeight="1" thickTop="1">
      <c r="A658" s="401" t="s">
        <v>892</v>
      </c>
      <c r="B658" s="542" t="s">
        <v>1660</v>
      </c>
      <c r="C658" s="542" t="s">
        <v>856</v>
      </c>
      <c r="D658" s="542" t="s">
        <v>856</v>
      </c>
      <c r="E658" s="542" t="s">
        <v>856</v>
      </c>
      <c r="F658" s="542" t="s">
        <v>856</v>
      </c>
      <c r="G658" s="542" t="s">
        <v>856</v>
      </c>
      <c r="H658" s="181"/>
      <c r="I658" s="399">
        <f t="shared" si="29"/>
        <v>0</v>
      </c>
      <c r="J658" s="493"/>
      <c r="K658" s="5"/>
      <c r="M658" s="350"/>
      <c r="N658" s="360"/>
      <c r="O658" s="295"/>
      <c r="P658" s="295"/>
      <c r="Q658" s="295"/>
      <c r="R658" s="295"/>
      <c r="S658" s="295"/>
      <c r="T658" s="295"/>
      <c r="U658" s="295"/>
    </row>
    <row r="659" spans="1:21" ht="17.25" customHeight="1">
      <c r="A659" s="401" t="s">
        <v>893</v>
      </c>
      <c r="B659" s="542" t="s">
        <v>1661</v>
      </c>
      <c r="C659" s="542" t="s">
        <v>856</v>
      </c>
      <c r="D659" s="542" t="s">
        <v>856</v>
      </c>
      <c r="E659" s="542" t="s">
        <v>856</v>
      </c>
      <c r="F659" s="542" t="s">
        <v>856</v>
      </c>
      <c r="G659" s="542" t="s">
        <v>856</v>
      </c>
      <c r="H659" s="181"/>
      <c r="I659" s="399">
        <f t="shared" si="29"/>
        <v>0</v>
      </c>
      <c r="J659" s="493"/>
      <c r="K659" s="5"/>
      <c r="L659" s="490"/>
      <c r="M659" s="228"/>
      <c r="N659" s="228"/>
      <c r="O659" s="295"/>
      <c r="P659" s="295"/>
      <c r="Q659" s="295"/>
      <c r="R659" s="295"/>
      <c r="S659" s="295"/>
      <c r="T659" s="295"/>
      <c r="U659" s="295"/>
    </row>
    <row r="660" spans="1:21" ht="17.25" customHeight="1">
      <c r="A660" s="401" t="s">
        <v>894</v>
      </c>
      <c r="B660" s="551" t="s">
        <v>1408</v>
      </c>
      <c r="C660" s="551"/>
      <c r="D660" s="551"/>
      <c r="E660" s="551"/>
      <c r="F660" s="551"/>
      <c r="G660" s="551"/>
      <c r="H660" s="181"/>
      <c r="I660" s="399" t="e">
        <f>I234</f>
        <v>#VALUE!</v>
      </c>
      <c r="J660" s="493"/>
      <c r="K660" s="5"/>
      <c r="M660" s="350"/>
      <c r="N660" s="360"/>
      <c r="O660" s="295"/>
      <c r="P660" s="295"/>
      <c r="Q660" s="295"/>
      <c r="R660" s="295"/>
      <c r="S660" s="295"/>
      <c r="T660" s="295"/>
      <c r="U660" s="295"/>
    </row>
    <row r="661" spans="1:21" ht="17.25" customHeight="1">
      <c r="A661" s="401" t="s">
        <v>1409</v>
      </c>
      <c r="B661" s="551" t="s">
        <v>1410</v>
      </c>
      <c r="C661" s="551"/>
      <c r="D661" s="551"/>
      <c r="E661" s="551"/>
      <c r="F661" s="551"/>
      <c r="G661" s="551"/>
      <c r="H661" s="181"/>
      <c r="I661" s="399">
        <f>IF(I236="NO",MIN(ABS(I235),0.5*(I559+I560+I561+I562)*(I389*12.5)),IF(I236="YES",ABS(I235),0))</f>
        <v>0</v>
      </c>
      <c r="J661" s="493"/>
      <c r="K661" s="5"/>
      <c r="M661" s="350"/>
      <c r="N661" s="360"/>
      <c r="O661" s="295"/>
      <c r="P661" s="295"/>
      <c r="Q661" s="295"/>
      <c r="R661" s="295"/>
      <c r="S661" s="295"/>
      <c r="T661" s="295"/>
      <c r="U661" s="295"/>
    </row>
    <row r="662" spans="1:21" ht="33" customHeight="1">
      <c r="A662" s="400" t="s">
        <v>895</v>
      </c>
      <c r="B662" s="553" t="s">
        <v>1603</v>
      </c>
      <c r="C662" s="553"/>
      <c r="D662" s="553"/>
      <c r="E662" s="553"/>
      <c r="F662" s="553"/>
      <c r="G662" s="553"/>
      <c r="H662" s="181"/>
      <c r="I662" s="399" t="e">
        <f>I502*I575</f>
        <v>#VALUE!</v>
      </c>
      <c r="J662" s="493"/>
      <c r="K662" s="5"/>
      <c r="M662" s="350"/>
      <c r="N662" s="350"/>
      <c r="O662" s="295"/>
      <c r="P662" s="295"/>
      <c r="Q662" s="295"/>
      <c r="R662" s="295"/>
      <c r="S662" s="295"/>
      <c r="T662" s="295"/>
      <c r="U662" s="295"/>
    </row>
    <row r="663" spans="1:21" ht="17.25" customHeight="1">
      <c r="A663" s="401" t="s">
        <v>896</v>
      </c>
      <c r="B663" s="551" t="s">
        <v>1407</v>
      </c>
      <c r="C663" s="551"/>
      <c r="D663" s="551"/>
      <c r="E663" s="551"/>
      <c r="F663" s="551"/>
      <c r="G663" s="551"/>
      <c r="H663" s="181"/>
      <c r="I663" s="399" t="e">
        <f>I664+I671+I672</f>
        <v>#VALUE!</v>
      </c>
      <c r="J663" s="493"/>
      <c r="K663" s="351"/>
      <c r="M663" s="350"/>
      <c r="N663" s="350"/>
      <c r="O663" s="295"/>
      <c r="P663" s="295"/>
      <c r="Q663" s="295"/>
      <c r="R663" s="295"/>
      <c r="S663" s="295"/>
      <c r="T663" s="295"/>
      <c r="U663" s="295"/>
    </row>
    <row r="664" spans="1:21" ht="17.25" customHeight="1">
      <c r="A664" s="401" t="s">
        <v>897</v>
      </c>
      <c r="B664" s="551" t="s">
        <v>1411</v>
      </c>
      <c r="C664" s="551"/>
      <c r="D664" s="551"/>
      <c r="E664" s="551"/>
      <c r="F664" s="551"/>
      <c r="G664" s="551"/>
      <c r="H664" s="181"/>
      <c r="I664" s="399">
        <f>SUM(I665:I670)</f>
        <v>0</v>
      </c>
      <c r="J664" s="493"/>
      <c r="K664" s="5"/>
      <c r="M664" s="350"/>
      <c r="N664" s="228"/>
      <c r="O664" s="295"/>
      <c r="P664" s="295"/>
      <c r="Q664" s="295"/>
      <c r="R664" s="295"/>
      <c r="S664" s="295"/>
      <c r="T664" s="295"/>
      <c r="U664" s="295"/>
    </row>
    <row r="665" spans="1:21" ht="17.25" customHeight="1">
      <c r="A665" s="401" t="s">
        <v>898</v>
      </c>
      <c r="B665" s="542" t="s">
        <v>1656</v>
      </c>
      <c r="C665" s="542"/>
      <c r="D665" s="542"/>
      <c r="E665" s="542"/>
      <c r="F665" s="542"/>
      <c r="G665" s="542"/>
      <c r="H665" s="181"/>
      <c r="I665" s="399">
        <f t="shared" ref="I665:I670" si="30">I693</f>
        <v>0</v>
      </c>
      <c r="J665" s="493"/>
      <c r="K665" s="5"/>
      <c r="M665" s="350"/>
      <c r="N665" s="350"/>
      <c r="O665" s="295"/>
      <c r="P665" s="295"/>
      <c r="Q665" s="295"/>
      <c r="R665" s="295"/>
      <c r="S665" s="295"/>
      <c r="T665" s="295"/>
      <c r="U665" s="295"/>
    </row>
    <row r="666" spans="1:21" ht="17.25" customHeight="1">
      <c r="A666" s="401" t="s">
        <v>899</v>
      </c>
      <c r="B666" s="542" t="s">
        <v>1657</v>
      </c>
      <c r="C666" s="542"/>
      <c r="D666" s="542"/>
      <c r="E666" s="542"/>
      <c r="F666" s="542"/>
      <c r="G666" s="542"/>
      <c r="H666" s="181"/>
      <c r="I666" s="399">
        <f t="shared" si="30"/>
        <v>0</v>
      </c>
      <c r="J666" s="493"/>
      <c r="K666" s="5"/>
      <c r="M666" s="350"/>
      <c r="N666" s="350"/>
      <c r="O666" s="295"/>
      <c r="P666" s="295"/>
      <c r="Q666" s="295"/>
      <c r="R666" s="295"/>
      <c r="S666" s="295"/>
      <c r="T666" s="295"/>
      <c r="U666" s="295"/>
    </row>
    <row r="667" spans="1:21" ht="17.25" customHeight="1">
      <c r="A667" s="401" t="s">
        <v>900</v>
      </c>
      <c r="B667" s="542" t="s">
        <v>1658</v>
      </c>
      <c r="C667" s="542"/>
      <c r="D667" s="542"/>
      <c r="E667" s="542"/>
      <c r="F667" s="542"/>
      <c r="G667" s="542"/>
      <c r="H667" s="181"/>
      <c r="I667" s="399">
        <f t="shared" si="30"/>
        <v>0</v>
      </c>
      <c r="J667" s="493"/>
      <c r="K667" s="5"/>
      <c r="M667" s="350"/>
      <c r="N667" s="350"/>
      <c r="O667" s="295"/>
      <c r="P667" s="295"/>
      <c r="Q667" s="295"/>
      <c r="R667" s="295"/>
      <c r="S667" s="295"/>
      <c r="T667" s="295"/>
      <c r="U667" s="295"/>
    </row>
    <row r="668" spans="1:21" ht="17.25" customHeight="1">
      <c r="A668" s="401" t="s">
        <v>1604</v>
      </c>
      <c r="B668" s="542" t="s">
        <v>1659</v>
      </c>
      <c r="C668" s="542"/>
      <c r="D668" s="542"/>
      <c r="E668" s="542"/>
      <c r="F668" s="542"/>
      <c r="G668" s="542"/>
      <c r="H668" s="181"/>
      <c r="I668" s="471">
        <f t="shared" si="30"/>
        <v>0</v>
      </c>
      <c r="J668" s="493"/>
      <c r="K668" s="5"/>
      <c r="M668" s="350"/>
      <c r="N668" s="350"/>
      <c r="O668" s="295"/>
      <c r="P668" s="461"/>
      <c r="Q668" s="295"/>
      <c r="R668" s="295"/>
      <c r="S668" s="295"/>
      <c r="T668" s="295"/>
      <c r="U668" s="295"/>
    </row>
    <row r="669" spans="1:21" ht="17.25" customHeight="1">
      <c r="A669" s="401" t="s">
        <v>901</v>
      </c>
      <c r="B669" s="542" t="s">
        <v>1660</v>
      </c>
      <c r="C669" s="542" t="s">
        <v>856</v>
      </c>
      <c r="D669" s="542" t="s">
        <v>856</v>
      </c>
      <c r="E669" s="542" t="s">
        <v>856</v>
      </c>
      <c r="F669" s="542" t="s">
        <v>856</v>
      </c>
      <c r="G669" s="542" t="s">
        <v>856</v>
      </c>
      <c r="H669" s="181"/>
      <c r="I669" s="399">
        <f t="shared" si="30"/>
        <v>0</v>
      </c>
      <c r="J669" s="493"/>
      <c r="K669" s="5"/>
      <c r="M669" s="350"/>
      <c r="N669" s="350"/>
      <c r="O669" s="295"/>
      <c r="P669" s="295"/>
      <c r="Q669" s="295"/>
      <c r="R669" s="295"/>
      <c r="S669" s="295"/>
      <c r="T669" s="295"/>
      <c r="U669" s="295"/>
    </row>
    <row r="670" spans="1:21" ht="17.25" customHeight="1">
      <c r="A670" s="401" t="s">
        <v>902</v>
      </c>
      <c r="B670" s="542" t="s">
        <v>1661</v>
      </c>
      <c r="C670" s="542" t="s">
        <v>856</v>
      </c>
      <c r="D670" s="542" t="s">
        <v>856</v>
      </c>
      <c r="E670" s="542" t="s">
        <v>856</v>
      </c>
      <c r="F670" s="542" t="s">
        <v>856</v>
      </c>
      <c r="G670" s="542" t="s">
        <v>856</v>
      </c>
      <c r="H670" s="181"/>
      <c r="I670" s="399">
        <f t="shared" si="30"/>
        <v>0</v>
      </c>
      <c r="J670" s="493"/>
      <c r="K670" s="5"/>
      <c r="M670" s="350"/>
      <c r="N670" s="350"/>
      <c r="O670" s="295"/>
      <c r="P670" s="295"/>
      <c r="Q670" s="295"/>
      <c r="R670" s="295"/>
      <c r="S670" s="295"/>
      <c r="T670" s="295"/>
      <c r="U670" s="295"/>
    </row>
    <row r="671" spans="1:21" ht="17.25" customHeight="1">
      <c r="A671" s="401" t="s">
        <v>903</v>
      </c>
      <c r="B671" s="551" t="s">
        <v>1408</v>
      </c>
      <c r="C671" s="551"/>
      <c r="D671" s="551"/>
      <c r="E671" s="551"/>
      <c r="F671" s="551"/>
      <c r="G671" s="551"/>
      <c r="H671" s="181"/>
      <c r="I671" s="399" t="e">
        <f>I234</f>
        <v>#VALUE!</v>
      </c>
      <c r="J671" s="493"/>
      <c r="K671" s="5"/>
      <c r="M671" s="350"/>
      <c r="N671" s="350"/>
      <c r="O671" s="295"/>
      <c r="P671" s="295"/>
      <c r="Q671" s="295"/>
      <c r="R671" s="295"/>
      <c r="S671" s="295"/>
      <c r="T671" s="295"/>
      <c r="U671" s="295"/>
    </row>
    <row r="672" spans="1:21" ht="17.25" customHeight="1">
      <c r="A672" s="401" t="s">
        <v>1412</v>
      </c>
      <c r="B672" s="551" t="s">
        <v>1410</v>
      </c>
      <c r="C672" s="551"/>
      <c r="D672" s="551"/>
      <c r="E672" s="551"/>
      <c r="F672" s="551"/>
      <c r="G672" s="551"/>
      <c r="H672" s="181"/>
      <c r="I672" s="399">
        <f>IF(I236="NO",MIN(ABS(I235),0.5*(I569+I570+I571+I572)*I502),IF(I236="YES",ABS(I235),0))</f>
        <v>0</v>
      </c>
      <c r="J672" s="493"/>
      <c r="K672" s="5"/>
      <c r="M672" s="350"/>
      <c r="N672" s="350"/>
      <c r="O672" s="295"/>
      <c r="P672" s="295"/>
      <c r="Q672" s="295"/>
      <c r="R672" s="295"/>
      <c r="S672" s="295"/>
      <c r="T672" s="295"/>
      <c r="U672" s="295"/>
    </row>
    <row r="673" spans="1:21" ht="33" customHeight="1" thickBot="1">
      <c r="A673" s="473" t="s">
        <v>904</v>
      </c>
      <c r="B673" s="552" t="s">
        <v>926</v>
      </c>
      <c r="C673" s="552"/>
      <c r="D673" s="552"/>
      <c r="E673" s="552"/>
      <c r="F673" s="552"/>
      <c r="G673" s="552"/>
      <c r="H673" s="181"/>
      <c r="I673" s="279" t="e">
        <f>IF(AND(I512=1,I513="B"),I674+I707,I674+I688)</f>
        <v>#VALUE!</v>
      </c>
      <c r="J673" s="280">
        <v>1443</v>
      </c>
      <c r="K673" s="5"/>
      <c r="M673" s="350"/>
      <c r="N673" s="350"/>
      <c r="O673" s="295"/>
      <c r="P673" s="295"/>
      <c r="Q673" s="295"/>
      <c r="R673" s="295"/>
      <c r="S673" s="295"/>
      <c r="T673" s="295"/>
      <c r="U673" s="295"/>
    </row>
    <row r="674" spans="1:21" ht="33" customHeight="1" thickTop="1" thickBot="1">
      <c r="A674" s="473" t="s">
        <v>905</v>
      </c>
      <c r="B674" s="548" t="s">
        <v>1140</v>
      </c>
      <c r="C674" s="548"/>
      <c r="D674" s="548"/>
      <c r="E674" s="548"/>
      <c r="F674" s="548"/>
      <c r="G674" s="548"/>
      <c r="H674" s="181"/>
      <c r="I674" s="279" t="e">
        <f>MAX(I581,I619)</f>
        <v>#VALUE!</v>
      </c>
      <c r="J674" s="280">
        <v>1444</v>
      </c>
      <c r="K674" s="5"/>
      <c r="M674" s="350"/>
      <c r="N674" s="350"/>
      <c r="O674" s="295"/>
      <c r="P674" s="295"/>
      <c r="Q674" s="295"/>
      <c r="R674" s="295"/>
      <c r="S674" s="295"/>
      <c r="T674" s="295"/>
      <c r="U674" s="295"/>
    </row>
    <row r="675" spans="1:21" ht="17.25" customHeight="1" thickTop="1" thickBot="1">
      <c r="A675" s="429" t="s">
        <v>906</v>
      </c>
      <c r="B675" s="541" t="s">
        <v>1141</v>
      </c>
      <c r="C675" s="541"/>
      <c r="D675" s="541"/>
      <c r="E675" s="541"/>
      <c r="F675" s="541"/>
      <c r="G675" s="541"/>
      <c r="H675" s="181"/>
      <c r="I675" s="279" t="e">
        <f>I581</f>
        <v>#VALUE!</v>
      </c>
      <c r="J675" s="280">
        <v>1445</v>
      </c>
      <c r="K675" s="5"/>
      <c r="M675" s="350"/>
      <c r="N675" s="350"/>
      <c r="O675" s="295"/>
      <c r="P675" s="295"/>
      <c r="Q675" s="295"/>
      <c r="R675" s="295"/>
      <c r="S675" s="295"/>
      <c r="T675" s="295"/>
      <c r="U675" s="295"/>
    </row>
    <row r="676" spans="1:21" ht="17.25" customHeight="1" thickTop="1">
      <c r="A676" s="401" t="s">
        <v>907</v>
      </c>
      <c r="B676" s="546" t="s">
        <v>1129</v>
      </c>
      <c r="C676" s="546"/>
      <c r="D676" s="546"/>
      <c r="E676" s="546"/>
      <c r="F676" s="546"/>
      <c r="G676" s="546"/>
      <c r="H676" s="181"/>
      <c r="I676" s="399" t="e">
        <f>I582</f>
        <v>#VALUE!</v>
      </c>
      <c r="J676" s="493"/>
      <c r="K676" s="5"/>
      <c r="M676" s="350"/>
      <c r="N676" s="350"/>
      <c r="O676" s="295"/>
      <c r="P676" s="295"/>
      <c r="Q676" s="295"/>
      <c r="R676" s="295"/>
      <c r="S676" s="295"/>
      <c r="T676" s="295"/>
      <c r="U676" s="295"/>
    </row>
    <row r="677" spans="1:21" ht="17.25" customHeight="1">
      <c r="A677" s="401" t="s">
        <v>908</v>
      </c>
      <c r="B677" s="546" t="s">
        <v>1130</v>
      </c>
      <c r="C677" s="546"/>
      <c r="D677" s="546"/>
      <c r="E677" s="546"/>
      <c r="F677" s="546"/>
      <c r="G677" s="546"/>
      <c r="H677" s="181"/>
      <c r="I677" s="399" t="e">
        <f>I584</f>
        <v>#VALUE!</v>
      </c>
      <c r="J677" s="493"/>
      <c r="K677" s="5"/>
      <c r="M677" s="350"/>
      <c r="N677" s="350"/>
      <c r="O677" s="295"/>
      <c r="P677" s="295"/>
      <c r="Q677" s="295"/>
      <c r="R677" s="295"/>
      <c r="S677" s="295"/>
      <c r="T677" s="295"/>
      <c r="U677" s="295"/>
    </row>
    <row r="678" spans="1:21" ht="17.25" customHeight="1" thickBot="1">
      <c r="A678" s="421" t="s">
        <v>909</v>
      </c>
      <c r="B678" s="541" t="s">
        <v>1142</v>
      </c>
      <c r="C678" s="541"/>
      <c r="D678" s="541"/>
      <c r="E678" s="541"/>
      <c r="F678" s="541"/>
      <c r="G678" s="541"/>
      <c r="H678" s="181"/>
      <c r="I678" s="279" t="e">
        <f>I619</f>
        <v>#VALUE!</v>
      </c>
      <c r="J678" s="280">
        <v>1446</v>
      </c>
      <c r="K678" s="5"/>
      <c r="M678" s="350"/>
      <c r="N678" s="350"/>
      <c r="O678" s="295"/>
      <c r="P678" s="295"/>
      <c r="Q678" s="295"/>
      <c r="R678" s="295"/>
      <c r="S678" s="295"/>
      <c r="T678" s="295"/>
      <c r="U678" s="295"/>
    </row>
    <row r="679" spans="1:21" ht="17.25" customHeight="1" thickTop="1">
      <c r="A679" s="401" t="s">
        <v>910</v>
      </c>
      <c r="B679" s="546" t="s">
        <v>1129</v>
      </c>
      <c r="C679" s="546"/>
      <c r="D679" s="546"/>
      <c r="E679" s="546"/>
      <c r="F679" s="546"/>
      <c r="G679" s="546"/>
      <c r="H679" s="181"/>
      <c r="I679" s="399" t="e">
        <f>I620</f>
        <v>#VALUE!</v>
      </c>
      <c r="J679" s="493"/>
      <c r="K679" s="5"/>
      <c r="M679" s="350"/>
      <c r="N679" s="350"/>
      <c r="O679" s="295"/>
      <c r="P679" s="295"/>
      <c r="Q679" s="295"/>
      <c r="R679" s="295"/>
      <c r="S679" s="295"/>
      <c r="T679" s="295"/>
      <c r="U679" s="295"/>
    </row>
    <row r="680" spans="1:21" ht="17.25" customHeight="1">
      <c r="A680" s="401" t="s">
        <v>911</v>
      </c>
      <c r="B680" s="546" t="s">
        <v>1130</v>
      </c>
      <c r="C680" s="546"/>
      <c r="D680" s="546"/>
      <c r="E680" s="546"/>
      <c r="F680" s="546"/>
      <c r="G680" s="546"/>
      <c r="H680" s="181"/>
      <c r="I680" s="399" t="e">
        <f>I622</f>
        <v>#VALUE!</v>
      </c>
      <c r="J680" s="493"/>
      <c r="K680" s="5"/>
      <c r="M680" s="350"/>
      <c r="N680" s="350"/>
      <c r="O680" s="295"/>
      <c r="P680" s="295"/>
      <c r="Q680" s="295"/>
      <c r="R680" s="295"/>
      <c r="S680" s="295"/>
      <c r="T680" s="295"/>
      <c r="U680" s="295"/>
    </row>
    <row r="681" spans="1:21" ht="17.25" customHeight="1">
      <c r="A681" s="401" t="s">
        <v>912</v>
      </c>
      <c r="B681" s="542" t="s">
        <v>1143</v>
      </c>
      <c r="C681" s="542"/>
      <c r="D681" s="542"/>
      <c r="E681" s="542"/>
      <c r="F681" s="542"/>
      <c r="G681" s="542"/>
      <c r="H681" s="181"/>
      <c r="I681" s="399" t="e">
        <f>MAX(I676,I679)</f>
        <v>#VALUE!</v>
      </c>
      <c r="J681" s="493"/>
      <c r="K681" s="5"/>
      <c r="M681" s="350"/>
      <c r="N681" s="350"/>
      <c r="O681" s="295"/>
      <c r="P681" s="295"/>
      <c r="Q681" s="295"/>
      <c r="R681" s="295"/>
      <c r="S681" s="295"/>
      <c r="T681" s="295"/>
      <c r="U681" s="295"/>
    </row>
    <row r="682" spans="1:21" ht="17.25" customHeight="1">
      <c r="A682" s="401" t="s">
        <v>913</v>
      </c>
      <c r="B682" s="542" t="s">
        <v>1144</v>
      </c>
      <c r="C682" s="542"/>
      <c r="D682" s="542"/>
      <c r="E682" s="542"/>
      <c r="F682" s="542"/>
      <c r="G682" s="542"/>
      <c r="H682" s="181"/>
      <c r="I682" s="399" t="e">
        <f>MAX(I676+I677,I679+I680)-I681</f>
        <v>#VALUE!</v>
      </c>
      <c r="J682" s="493"/>
      <c r="K682" s="5"/>
      <c r="M682" s="350"/>
      <c r="N682" s="350"/>
      <c r="O682" s="295"/>
      <c r="P682" s="295"/>
      <c r="Q682" s="295"/>
      <c r="R682" s="295"/>
      <c r="S682" s="295"/>
      <c r="T682" s="295"/>
      <c r="U682" s="295"/>
    </row>
    <row r="683" spans="1:21" ht="17.25" customHeight="1">
      <c r="A683" s="401" t="s">
        <v>914</v>
      </c>
      <c r="B683" s="542" t="s">
        <v>1413</v>
      </c>
      <c r="C683" s="542"/>
      <c r="D683" s="542"/>
      <c r="E683" s="542"/>
      <c r="F683" s="542"/>
      <c r="G683" s="542"/>
      <c r="H683" s="181"/>
      <c r="I683" s="399">
        <f>SUM(I684:I687)-I685</f>
        <v>0</v>
      </c>
      <c r="J683" s="493"/>
      <c r="K683" s="5"/>
      <c r="L683" s="490"/>
      <c r="M683" s="228"/>
      <c r="N683" s="228"/>
      <c r="O683" s="295"/>
      <c r="P683" s="295"/>
      <c r="Q683" s="295"/>
      <c r="R683" s="295"/>
      <c r="S683" s="295"/>
      <c r="T683" s="295"/>
      <c r="U683" s="295"/>
    </row>
    <row r="684" spans="1:21" ht="17.25" customHeight="1">
      <c r="A684" s="401" t="s">
        <v>915</v>
      </c>
      <c r="B684" s="546" t="s">
        <v>1133</v>
      </c>
      <c r="C684" s="546"/>
      <c r="D684" s="546"/>
      <c r="E684" s="546"/>
      <c r="F684" s="546"/>
      <c r="G684" s="546"/>
      <c r="H684" s="181"/>
      <c r="I684" s="399">
        <f>I368</f>
        <v>0</v>
      </c>
      <c r="J684" s="493"/>
      <c r="K684" s="5"/>
      <c r="L684" s="490"/>
      <c r="M684" s="228"/>
      <c r="N684" s="228"/>
      <c r="O684" s="295"/>
      <c r="P684" s="295"/>
      <c r="Q684" s="295"/>
      <c r="R684" s="295"/>
      <c r="S684" s="295"/>
      <c r="T684" s="295"/>
      <c r="U684" s="295"/>
    </row>
    <row r="685" spans="1:21" ht="17.25" customHeight="1">
      <c r="A685" s="429" t="s">
        <v>916</v>
      </c>
      <c r="B685" s="550" t="s">
        <v>1662</v>
      </c>
      <c r="C685" s="550"/>
      <c r="D685" s="550"/>
      <c r="E685" s="550"/>
      <c r="F685" s="550"/>
      <c r="G685" s="550"/>
      <c r="H685" s="181"/>
      <c r="I685" s="186"/>
      <c r="J685" s="280">
        <v>1347</v>
      </c>
      <c r="K685" s="5"/>
      <c r="L685" s="115" t="str">
        <f>IF(I685&gt;=0,"OK","ERROR")</f>
        <v>OK</v>
      </c>
      <c r="M685" s="228"/>
      <c r="N685" s="228"/>
      <c r="O685" s="295"/>
      <c r="P685" s="295"/>
      <c r="Q685" s="295"/>
      <c r="R685" s="295"/>
      <c r="S685" s="295"/>
      <c r="T685" s="295"/>
      <c r="U685" s="295"/>
    </row>
    <row r="686" spans="1:21" ht="17.25" customHeight="1">
      <c r="A686" s="401" t="s">
        <v>917</v>
      </c>
      <c r="B686" s="546" t="s">
        <v>1663</v>
      </c>
      <c r="C686" s="546"/>
      <c r="D686" s="546"/>
      <c r="E686" s="546"/>
      <c r="F686" s="546"/>
      <c r="G686" s="546"/>
      <c r="H686" s="181"/>
      <c r="I686" s="399">
        <f>I376</f>
        <v>0</v>
      </c>
      <c r="J686" s="493"/>
      <c r="K686" s="5"/>
      <c r="L686" s="490"/>
      <c r="M686" s="228"/>
      <c r="N686" s="228"/>
      <c r="O686" s="295"/>
      <c r="P686" s="295"/>
      <c r="Q686" s="295"/>
      <c r="R686" s="295"/>
      <c r="S686" s="295"/>
      <c r="T686" s="295"/>
      <c r="U686" s="295"/>
    </row>
    <row r="687" spans="1:21" ht="17.25" customHeight="1">
      <c r="A687" s="401" t="s">
        <v>918</v>
      </c>
      <c r="B687" s="546" t="s">
        <v>1664</v>
      </c>
      <c r="C687" s="546"/>
      <c r="D687" s="546"/>
      <c r="E687" s="546"/>
      <c r="F687" s="546"/>
      <c r="G687" s="546"/>
      <c r="H687" s="181"/>
      <c r="I687" s="399">
        <f>I377</f>
        <v>0</v>
      </c>
      <c r="J687" s="493"/>
      <c r="K687" s="5"/>
      <c r="L687" s="490"/>
      <c r="M687" s="228"/>
      <c r="N687" s="228"/>
      <c r="O687" s="295"/>
      <c r="P687" s="295"/>
      <c r="Q687" s="295"/>
      <c r="R687" s="295"/>
      <c r="S687" s="295"/>
      <c r="T687" s="295"/>
      <c r="U687" s="295"/>
    </row>
    <row r="688" spans="1:21" ht="33" customHeight="1" thickBot="1">
      <c r="A688" s="421" t="s">
        <v>919</v>
      </c>
      <c r="B688" s="548" t="s">
        <v>1605</v>
      </c>
      <c r="C688" s="548"/>
      <c r="D688" s="548"/>
      <c r="E688" s="548"/>
      <c r="F688" s="548"/>
      <c r="G688" s="548"/>
      <c r="H688" s="181"/>
      <c r="I688" s="279" t="e">
        <f>MAX(I651,I662)</f>
        <v>#VALUE!</v>
      </c>
      <c r="J688" s="280">
        <v>1447</v>
      </c>
      <c r="K688" s="5"/>
      <c r="L688" s="490"/>
      <c r="M688" s="228"/>
      <c r="N688" s="228"/>
      <c r="O688" s="295"/>
      <c r="P688" s="295"/>
      <c r="Q688" s="295"/>
      <c r="R688" s="295"/>
      <c r="S688" s="295"/>
      <c r="T688" s="295"/>
      <c r="U688" s="295"/>
    </row>
    <row r="689" spans="1:21" ht="17.25" customHeight="1" thickTop="1" thickBot="1">
      <c r="A689" s="421" t="s">
        <v>920</v>
      </c>
      <c r="B689" s="549" t="s">
        <v>1606</v>
      </c>
      <c r="C689" s="549"/>
      <c r="D689" s="549"/>
      <c r="E689" s="549"/>
      <c r="F689" s="549"/>
      <c r="G689" s="549"/>
      <c r="H689" s="181"/>
      <c r="I689" s="279" t="e">
        <f>I651</f>
        <v>#VALUE!</v>
      </c>
      <c r="J689" s="280">
        <v>1448</v>
      </c>
      <c r="K689" s="5"/>
      <c r="L689" s="490"/>
      <c r="M689" s="228"/>
      <c r="N689" s="228"/>
      <c r="O689" s="295"/>
      <c r="P689" s="295"/>
      <c r="Q689" s="295"/>
      <c r="R689" s="295"/>
      <c r="S689" s="295"/>
      <c r="T689" s="295"/>
      <c r="U689" s="295"/>
    </row>
    <row r="690" spans="1:21" ht="17.25" customHeight="1" thickTop="1" thickBot="1">
      <c r="A690" s="421" t="s">
        <v>921</v>
      </c>
      <c r="B690" s="549" t="s">
        <v>1607</v>
      </c>
      <c r="C690" s="549"/>
      <c r="D690" s="549"/>
      <c r="E690" s="549"/>
      <c r="F690" s="549"/>
      <c r="G690" s="549"/>
      <c r="H690" s="181"/>
      <c r="I690" s="279" t="e">
        <f>I662</f>
        <v>#VALUE!</v>
      </c>
      <c r="J690" s="280">
        <v>1449</v>
      </c>
      <c r="K690" s="5"/>
      <c r="L690" s="490"/>
      <c r="M690" s="228"/>
      <c r="N690" s="228"/>
      <c r="O690" s="295"/>
      <c r="P690" s="295"/>
      <c r="Q690" s="295"/>
      <c r="R690" s="295"/>
      <c r="S690" s="295"/>
      <c r="T690" s="295"/>
      <c r="U690" s="295"/>
    </row>
    <row r="691" spans="1:21" ht="17.25" customHeight="1" thickTop="1">
      <c r="A691" s="401" t="s">
        <v>1414</v>
      </c>
      <c r="B691" s="542" t="s">
        <v>1407</v>
      </c>
      <c r="C691" s="542"/>
      <c r="D691" s="542"/>
      <c r="E691" s="542"/>
      <c r="F691" s="542"/>
      <c r="G691" s="542"/>
      <c r="H691" s="181"/>
      <c r="I691" s="399" t="e">
        <f>I692+I699+I700</f>
        <v>#VALUE!</v>
      </c>
      <c r="J691" s="493"/>
      <c r="K691" s="5"/>
      <c r="L691" s="490"/>
      <c r="M691" s="228"/>
      <c r="N691" s="228"/>
      <c r="O691" s="295"/>
      <c r="P691" s="295"/>
      <c r="Q691" s="295"/>
      <c r="R691" s="295"/>
      <c r="S691" s="295"/>
      <c r="T691" s="295"/>
      <c r="U691" s="295"/>
    </row>
    <row r="692" spans="1:21" ht="17.25" customHeight="1">
      <c r="A692" s="401" t="s">
        <v>1415</v>
      </c>
      <c r="B692" s="542" t="s">
        <v>1411</v>
      </c>
      <c r="C692" s="542"/>
      <c r="D692" s="542"/>
      <c r="E692" s="542"/>
      <c r="F692" s="542"/>
      <c r="G692" s="542"/>
      <c r="H692" s="181"/>
      <c r="I692" s="399">
        <f>SUM(I693:I698)</f>
        <v>0</v>
      </c>
      <c r="J692" s="493"/>
      <c r="K692" s="5"/>
      <c r="L692" s="490"/>
      <c r="M692" s="228"/>
      <c r="N692" s="228"/>
      <c r="O692" s="295"/>
      <c r="P692" s="295"/>
      <c r="Q692" s="295"/>
      <c r="R692" s="295"/>
      <c r="S692" s="295"/>
      <c r="T692" s="295"/>
      <c r="U692" s="295"/>
    </row>
    <row r="693" spans="1:21" ht="17.25" customHeight="1">
      <c r="A693" s="401" t="s">
        <v>1416</v>
      </c>
      <c r="B693" s="546" t="s">
        <v>1665</v>
      </c>
      <c r="C693" s="546"/>
      <c r="D693" s="546"/>
      <c r="E693" s="546"/>
      <c r="F693" s="546"/>
      <c r="G693" s="546"/>
      <c r="H693" s="181"/>
      <c r="I693" s="399">
        <f>-I367</f>
        <v>0</v>
      </c>
      <c r="J693" s="493"/>
      <c r="K693" s="5"/>
      <c r="L693" s="490"/>
      <c r="M693" s="228"/>
      <c r="N693" s="228"/>
      <c r="O693" s="295"/>
      <c r="P693" s="295"/>
      <c r="Q693" s="295"/>
      <c r="R693" s="295"/>
      <c r="S693" s="295"/>
      <c r="T693" s="295"/>
      <c r="U693" s="295"/>
    </row>
    <row r="694" spans="1:21" ht="17.25" customHeight="1">
      <c r="A694" s="401" t="s">
        <v>1417</v>
      </c>
      <c r="B694" s="546" t="s">
        <v>1666</v>
      </c>
      <c r="C694" s="546"/>
      <c r="D694" s="546"/>
      <c r="E694" s="546"/>
      <c r="F694" s="546"/>
      <c r="G694" s="546"/>
      <c r="H694" s="181"/>
      <c r="I694" s="399">
        <f>-I372</f>
        <v>0</v>
      </c>
      <c r="J694" s="493"/>
      <c r="K694" s="5"/>
      <c r="L694" s="490"/>
      <c r="M694" s="228"/>
      <c r="N694" s="228"/>
      <c r="O694" s="295"/>
      <c r="P694" s="295"/>
      <c r="Q694" s="295"/>
      <c r="R694" s="295"/>
      <c r="S694" s="295"/>
      <c r="T694" s="295"/>
      <c r="U694" s="295"/>
    </row>
    <row r="695" spans="1:21" ht="17.25" customHeight="1">
      <c r="A695" s="401" t="s">
        <v>1418</v>
      </c>
      <c r="B695" s="546" t="s">
        <v>1667</v>
      </c>
      <c r="C695" s="546"/>
      <c r="D695" s="546"/>
      <c r="E695" s="546"/>
      <c r="F695" s="546"/>
      <c r="G695" s="546"/>
      <c r="H695" s="181"/>
      <c r="I695" s="399">
        <f>-I373</f>
        <v>0</v>
      </c>
      <c r="J695" s="493"/>
      <c r="K695" s="5"/>
      <c r="M695" s="350"/>
      <c r="N695" s="350"/>
      <c r="O695" s="295"/>
      <c r="P695" s="295"/>
      <c r="Q695" s="295"/>
      <c r="R695" s="295"/>
      <c r="S695" s="295"/>
      <c r="T695" s="295"/>
      <c r="U695" s="295"/>
    </row>
    <row r="696" spans="1:21" ht="17.25" customHeight="1">
      <c r="A696" s="401" t="s">
        <v>1608</v>
      </c>
      <c r="B696" s="546" t="s">
        <v>1668</v>
      </c>
      <c r="C696" s="546"/>
      <c r="D696" s="546"/>
      <c r="E696" s="546"/>
      <c r="F696" s="546"/>
      <c r="G696" s="546"/>
      <c r="H696" s="490"/>
      <c r="I696" s="471">
        <f>-I374</f>
        <v>0</v>
      </c>
      <c r="J696" s="493"/>
      <c r="K696" s="5"/>
      <c r="M696" s="350"/>
      <c r="N696" s="350"/>
      <c r="O696" s="295"/>
      <c r="P696" s="461"/>
      <c r="Q696" s="295"/>
      <c r="R696" s="295"/>
      <c r="S696" s="295"/>
      <c r="T696" s="295"/>
      <c r="U696" s="295"/>
    </row>
    <row r="697" spans="1:21" ht="17.25" customHeight="1">
      <c r="A697" s="401" t="s">
        <v>1419</v>
      </c>
      <c r="B697" s="546" t="s">
        <v>1669</v>
      </c>
      <c r="C697" s="546" t="s">
        <v>856</v>
      </c>
      <c r="D697" s="546" t="s">
        <v>856</v>
      </c>
      <c r="E697" s="546" t="s">
        <v>856</v>
      </c>
      <c r="F697" s="546" t="s">
        <v>856</v>
      </c>
      <c r="G697" s="546" t="s">
        <v>856</v>
      </c>
      <c r="H697" s="181"/>
      <c r="I697" s="471">
        <f>I379</f>
        <v>0</v>
      </c>
      <c r="J697" s="493"/>
      <c r="K697" s="5"/>
      <c r="M697" s="350"/>
      <c r="N697" s="350"/>
      <c r="O697" s="295"/>
      <c r="P697" s="295"/>
      <c r="Q697" s="295"/>
      <c r="R697" s="295"/>
      <c r="S697" s="295"/>
      <c r="T697" s="295"/>
      <c r="U697" s="295"/>
    </row>
    <row r="698" spans="1:21" ht="17.25" customHeight="1">
      <c r="A698" s="401" t="s">
        <v>1420</v>
      </c>
      <c r="B698" s="546" t="s">
        <v>1670</v>
      </c>
      <c r="C698" s="546" t="s">
        <v>856</v>
      </c>
      <c r="D698" s="546" t="s">
        <v>856</v>
      </c>
      <c r="E698" s="546" t="s">
        <v>856</v>
      </c>
      <c r="F698" s="546" t="s">
        <v>856</v>
      </c>
      <c r="G698" s="546" t="s">
        <v>856</v>
      </c>
      <c r="H698" s="181"/>
      <c r="I698" s="471">
        <f>I380</f>
        <v>0</v>
      </c>
      <c r="J698" s="493"/>
      <c r="K698" s="5"/>
      <c r="L698" s="490"/>
      <c r="M698" s="228"/>
      <c r="N698" s="228"/>
      <c r="O698" s="295"/>
      <c r="P698" s="295"/>
      <c r="Q698" s="295"/>
      <c r="R698" s="295"/>
      <c r="S698" s="295"/>
      <c r="T698" s="295"/>
      <c r="U698" s="295"/>
    </row>
    <row r="699" spans="1:21" ht="17.25" customHeight="1">
      <c r="A699" s="401" t="s">
        <v>1421</v>
      </c>
      <c r="B699" s="542" t="s">
        <v>1408</v>
      </c>
      <c r="C699" s="542"/>
      <c r="D699" s="542"/>
      <c r="E699" s="542"/>
      <c r="F699" s="542"/>
      <c r="G699" s="542"/>
      <c r="H699" s="181"/>
      <c r="I699" s="399" t="e">
        <f>I234</f>
        <v>#VALUE!</v>
      </c>
      <c r="J699" s="493"/>
      <c r="K699" s="5"/>
      <c r="M699" s="350"/>
      <c r="N699" s="350"/>
      <c r="O699" s="295"/>
      <c r="P699" s="295"/>
      <c r="Q699" s="295"/>
      <c r="R699" s="295"/>
      <c r="S699" s="295"/>
      <c r="T699" s="295"/>
      <c r="U699" s="295"/>
    </row>
    <row r="700" spans="1:21" ht="17.25" customHeight="1">
      <c r="A700" s="401" t="s">
        <v>1422</v>
      </c>
      <c r="B700" s="542" t="s">
        <v>1410</v>
      </c>
      <c r="C700" s="542"/>
      <c r="D700" s="542"/>
      <c r="E700" s="542"/>
      <c r="F700" s="542"/>
      <c r="G700" s="542"/>
      <c r="H700" s="181"/>
      <c r="I700" s="399">
        <f>MAX(I661,I672)</f>
        <v>0</v>
      </c>
      <c r="J700" s="493"/>
      <c r="K700" s="5"/>
      <c r="M700" s="350"/>
      <c r="N700" s="350"/>
      <c r="O700" s="295"/>
      <c r="P700" s="295"/>
      <c r="Q700" s="295"/>
      <c r="R700" s="295"/>
      <c r="S700" s="295"/>
      <c r="T700" s="295"/>
      <c r="U700" s="295"/>
    </row>
    <row r="701" spans="1:21" ht="33" customHeight="1">
      <c r="A701" s="400" t="s">
        <v>922</v>
      </c>
      <c r="B701" s="547" t="s">
        <v>1609</v>
      </c>
      <c r="C701" s="547"/>
      <c r="D701" s="547"/>
      <c r="E701" s="547"/>
      <c r="F701" s="547"/>
      <c r="G701" s="547"/>
      <c r="H701" s="181"/>
      <c r="I701" s="399" t="e">
        <f>I581+I651</f>
        <v>#VALUE!</v>
      </c>
      <c r="J701" s="493"/>
      <c r="K701" s="490"/>
      <c r="L701" s="486" t="e">
        <f>IF(I1="PSIB_CASABISIRB","NA",IF(AND(I1="CSIB_CASABISIRB",I512=2),"NA",IF(AND(I1="CSIB_CASABISIRB",I512=1,I513="A"),"NA",IF(AND(I1="CSIB_CASABISIRB",I512=1,I513&lt;&gt;"A",YEAR(I3)&gt;=2019,YEAR(I3)&lt;2022,I702/(12.5*I389)&gt;=16%),"OK",IF(AND(I1="CSIB_CASABISIRB",I512=1,I513&lt;&gt;"A",YEAR(I3)&gt;=2022,I702/(12.5*I389)&gt;=18%),"OK","ERROR")))))</f>
        <v>#VALUE!</v>
      </c>
      <c r="M701" s="228"/>
      <c r="N701" s="228"/>
      <c r="O701" s="295"/>
      <c r="P701" s="295"/>
      <c r="Q701" s="295"/>
      <c r="R701" s="295"/>
      <c r="S701" s="295"/>
      <c r="T701" s="295"/>
      <c r="U701" s="295"/>
    </row>
    <row r="702" spans="1:21" ht="17.25" customHeight="1">
      <c r="A702" s="401" t="s">
        <v>923</v>
      </c>
      <c r="B702" s="542" t="s">
        <v>1423</v>
      </c>
      <c r="C702" s="542"/>
      <c r="D702" s="542"/>
      <c r="E702" s="542"/>
      <c r="F702" s="542"/>
      <c r="G702" s="542"/>
      <c r="H702" s="181"/>
      <c r="I702" s="399" t="e">
        <f>I683+I691</f>
        <v>#VALUE!</v>
      </c>
      <c r="J702" s="493"/>
      <c r="K702" s="490"/>
      <c r="L702" s="486" t="e">
        <f>IF(I1="PSIB_CASABISIRB","NA",IF(AND(I1="CSIB_CASABISIRB",I512=2),"NA",IF(AND(I1="CSIB_CASABISIRB",I512=1,I513="A"),"NA",IF(AND(I1="CSIB_CASABISIRB",I512=1,I513&lt;&gt;"A",YEAR(I3)&gt;=2019,YEAR(I3)&lt;2022,I702/(12.5*I389)&gt;=16%+I535+I538+I539+I540),"OK",IF(AND(I1="CSIB_CASABISIRB",I512=1,I513&lt;&gt;"A",YEAR(I3)&gt;=2022,I702/(12.5*I389)&gt;=18%+I535+I538+I539+I540),"OK","ERROR")))))</f>
        <v>#VALUE!</v>
      </c>
      <c r="M702" s="228"/>
      <c r="N702" s="228"/>
      <c r="O702" s="490"/>
      <c r="P702" s="490"/>
      <c r="Q702" s="490"/>
      <c r="R702" s="490"/>
      <c r="S702" s="490"/>
      <c r="T702" s="295"/>
      <c r="U702" s="295"/>
    </row>
    <row r="703" spans="1:21" ht="33" customHeight="1">
      <c r="A703" s="400" t="s">
        <v>924</v>
      </c>
      <c r="B703" s="547" t="s">
        <v>1610</v>
      </c>
      <c r="C703" s="547"/>
      <c r="D703" s="547"/>
      <c r="E703" s="547"/>
      <c r="F703" s="547"/>
      <c r="G703" s="547"/>
      <c r="H703" s="181"/>
      <c r="I703" s="399" t="e">
        <f>I619+I662</f>
        <v>#VALUE!</v>
      </c>
      <c r="J703" s="493"/>
      <c r="K703" s="490"/>
      <c r="L703" s="486" t="e">
        <f>IF(I1="PSIB_CASABISIRB","NA",IF(AND(I1="CSIB_CASABISIRB",I512=2),"NA",IF(AND(I1="CSIB_CASABISIRB",I512=1,I513="A"),"NA",IF(AND(I1="CSIB_CASABISIRB",I512=1,I513&lt;&gt;"A",YEAR(I3)&gt;=2019,YEAR(I3)&lt;2022,I704/I502&gt;=6%),"OK",IF(AND(I1="CSIB_CASABISIRB",I512=1,I513&lt;&gt;"A",YEAR(I3)&gt;=2022,I704/I502&gt;=6.75%),"OK","ERROR")))))</f>
        <v>#VALUE!</v>
      </c>
      <c r="M703" s="228"/>
      <c r="N703" s="228"/>
      <c r="O703" s="490"/>
      <c r="P703" s="490"/>
      <c r="Q703" s="490"/>
      <c r="R703" s="490"/>
      <c r="S703" s="490"/>
      <c r="T703" s="295"/>
      <c r="U703" s="295"/>
    </row>
    <row r="704" spans="1:21" ht="17.25" customHeight="1">
      <c r="A704" s="401" t="s">
        <v>925</v>
      </c>
      <c r="B704" s="542" t="s">
        <v>1424</v>
      </c>
      <c r="C704" s="542"/>
      <c r="D704" s="542"/>
      <c r="E704" s="542"/>
      <c r="F704" s="542"/>
      <c r="G704" s="542"/>
      <c r="H704" s="181"/>
      <c r="I704" s="399" t="e">
        <f>I683+I691</f>
        <v>#VALUE!</v>
      </c>
      <c r="J704" s="493"/>
      <c r="K704" s="490"/>
      <c r="L704" s="486" t="e">
        <f>IF(I1="PSIB_CASABISIRB","NA",IF(AND(I1="CSIB_CASABISIRB",I512=2),"NA",IF(AND(I1="CSIB_CASABISIRB",I512=1,I513="A"),"NA",IF(AND(I1="CSIB_CASABISIRB",I512=1,I513&lt;&gt;"A",YEAR(I3)&gt;=2019,YEAR(I3)&lt;2022,I704/I502&gt;=6%+I551+I554+I555),"OK",IF(AND(I1="CSIB_CASABISIRB",I512=1,I513&lt;&gt;"A",YEAR(I3)&gt;=2022,I704/I502&gt;=6.75%+I551+I554+I555),"OK","ERROR")))))</f>
        <v>#VALUE!</v>
      </c>
      <c r="M704" s="228"/>
      <c r="N704" s="228"/>
      <c r="O704" s="490"/>
      <c r="P704" s="490"/>
      <c r="Q704" s="490"/>
      <c r="R704" s="490"/>
      <c r="S704" s="490"/>
      <c r="T704" s="295"/>
      <c r="U704" s="295"/>
    </row>
    <row r="705" spans="1:21" ht="33" customHeight="1">
      <c r="A705" s="504" t="s">
        <v>1611</v>
      </c>
      <c r="B705" s="543" t="s">
        <v>1612</v>
      </c>
      <c r="C705" s="543"/>
      <c r="D705" s="543"/>
      <c r="E705" s="543"/>
      <c r="F705" s="543"/>
      <c r="G705" s="543"/>
      <c r="H705" s="208"/>
      <c r="I705" s="474"/>
      <c r="J705" s="280"/>
      <c r="K705" s="490"/>
      <c r="L705" s="490"/>
      <c r="M705" s="228"/>
      <c r="N705" s="228"/>
      <c r="O705" s="490"/>
      <c r="P705" s="461"/>
      <c r="Q705" s="490"/>
      <c r="R705" s="490"/>
      <c r="S705" s="490"/>
      <c r="T705" s="295"/>
      <c r="U705" s="295"/>
    </row>
    <row r="706" spans="1:21" ht="17.25" customHeight="1" thickBot="1">
      <c r="A706" s="429" t="s">
        <v>1613</v>
      </c>
      <c r="B706" s="544" t="s">
        <v>1773</v>
      </c>
      <c r="C706" s="544"/>
      <c r="D706" s="544"/>
      <c r="E706" s="544"/>
      <c r="F706" s="544"/>
      <c r="G706" s="544"/>
      <c r="H706" s="208"/>
      <c r="I706" s="309" t="e">
        <f>I708+I709+MAX(I717,I718)</f>
        <v>#VALUE!</v>
      </c>
      <c r="J706" s="503">
        <v>1450</v>
      </c>
      <c r="K706" s="490"/>
      <c r="L706" s="490"/>
      <c r="M706" s="228"/>
      <c r="N706" s="228"/>
      <c r="O706" s="490"/>
      <c r="P706" s="461"/>
      <c r="Q706" s="490"/>
      <c r="R706" s="490"/>
      <c r="S706" s="490"/>
      <c r="T706" s="295"/>
      <c r="U706" s="295"/>
    </row>
    <row r="707" spans="1:21" ht="17.25" customHeight="1" thickTop="1" thickBot="1">
      <c r="A707" s="429" t="s">
        <v>1614</v>
      </c>
      <c r="B707" s="539" t="s">
        <v>1774</v>
      </c>
      <c r="C707" s="539"/>
      <c r="D707" s="539"/>
      <c r="E707" s="539"/>
      <c r="F707" s="539"/>
      <c r="G707" s="539"/>
      <c r="H707" s="208"/>
      <c r="I707" s="279" t="e">
        <f>MAX(I706-MIN(1/3*(I706-I708),0.5*(ABS(I367)+ABS(I371)+I379+(I249*0.2)+(I250*0.4)+(I251*0.6)+(I252*0.8)+I380+(I273*0.2)+(I274*0.4)+(I275*0.6)+(I276*0.8))),I719)</f>
        <v>#VALUE!</v>
      </c>
      <c r="J707" s="503">
        <v>1451</v>
      </c>
      <c r="K707" s="475"/>
      <c r="L707" s="475"/>
      <c r="M707" s="228"/>
      <c r="N707" s="228"/>
      <c r="O707" s="490"/>
      <c r="P707" s="461"/>
      <c r="Q707" s="490"/>
      <c r="R707" s="490"/>
      <c r="S707" s="490"/>
      <c r="T707" s="295"/>
      <c r="U707" s="295"/>
    </row>
    <row r="708" spans="1:21" ht="17.25" customHeight="1" thickTop="1">
      <c r="A708" s="429" t="s">
        <v>1615</v>
      </c>
      <c r="B708" s="541" t="s">
        <v>1616</v>
      </c>
      <c r="C708" s="541"/>
      <c r="D708" s="541"/>
      <c r="E708" s="541"/>
      <c r="F708" s="541"/>
      <c r="G708" s="541"/>
      <c r="H708" s="208"/>
      <c r="I708" s="186"/>
      <c r="J708" s="503">
        <v>1452</v>
      </c>
      <c r="K708" s="475"/>
      <c r="L708" s="115" t="str">
        <f>IF(OR(AND($I$513="B",I708&gt;=0),AND($I$513&lt;&gt;"B",ISBLANK(I708))),"OK","ERROR")</f>
        <v>OK</v>
      </c>
      <c r="M708" s="228"/>
      <c r="N708" s="228"/>
      <c r="O708" s="490"/>
      <c r="P708" s="461"/>
      <c r="Q708" s="490"/>
      <c r="R708" s="490"/>
      <c r="S708" s="490"/>
      <c r="T708" s="295"/>
      <c r="U708" s="295"/>
    </row>
    <row r="709" spans="1:21" ht="17.25" customHeight="1">
      <c r="A709" s="505" t="s">
        <v>1617</v>
      </c>
      <c r="B709" s="545" t="s">
        <v>1775</v>
      </c>
      <c r="C709" s="545"/>
      <c r="D709" s="545"/>
      <c r="E709" s="545"/>
      <c r="F709" s="545"/>
      <c r="G709" s="545"/>
      <c r="H709" s="208"/>
      <c r="I709" s="186"/>
      <c r="J709" s="503">
        <v>1534</v>
      </c>
      <c r="K709" s="475"/>
      <c r="L709" s="115" t="str">
        <f>IF(I709&gt;=0,"OK","ERROR")</f>
        <v>OK</v>
      </c>
      <c r="M709" s="228"/>
      <c r="N709" s="228"/>
      <c r="O709" s="490"/>
      <c r="P709" s="461"/>
      <c r="Q709" s="490"/>
      <c r="R709" s="490"/>
      <c r="S709" s="490"/>
      <c r="T709" s="295"/>
      <c r="U709" s="295"/>
    </row>
    <row r="710" spans="1:21" ht="17.25" customHeight="1">
      <c r="A710" s="429" t="s">
        <v>1618</v>
      </c>
      <c r="B710" s="541" t="s">
        <v>1776</v>
      </c>
      <c r="C710" s="541"/>
      <c r="D710" s="541"/>
      <c r="E710" s="541"/>
      <c r="F710" s="541"/>
      <c r="G710" s="541"/>
      <c r="H710" s="208"/>
      <c r="I710" s="186"/>
      <c r="J710" s="503">
        <v>1453</v>
      </c>
      <c r="K710" s="490"/>
      <c r="L710" s="115" t="str">
        <f>IF(OR(AND($I$513="B",I710&gt;=SUM(I711:I713)),AND($I$513&lt;&gt;"B",ISBLANK(I710))),"OK","ERROR")</f>
        <v>OK</v>
      </c>
      <c r="M710" s="228"/>
      <c r="N710" s="228"/>
      <c r="O710" s="490"/>
      <c r="P710" s="461"/>
      <c r="Q710" s="490"/>
      <c r="R710" s="490"/>
      <c r="S710" s="490"/>
      <c r="T710" s="295"/>
      <c r="U710" s="295"/>
    </row>
    <row r="711" spans="1:21" ht="17.25" customHeight="1">
      <c r="A711" s="429" t="s">
        <v>1777</v>
      </c>
      <c r="B711" s="476" t="s">
        <v>1671</v>
      </c>
      <c r="C711" s="476"/>
      <c r="D711" s="476"/>
      <c r="E711" s="476"/>
      <c r="F711" s="476"/>
      <c r="G711" s="476"/>
      <c r="H711" s="208"/>
      <c r="I711" s="186"/>
      <c r="J711" s="503">
        <v>1454</v>
      </c>
      <c r="K711" s="490"/>
      <c r="L711" s="115" t="str">
        <f t="shared" ref="L711:L716" si="31">IF(OR(AND($I$513="B",I711&gt;=0),AND($I$513&lt;&gt;"B",ISBLANK(I711))),"OK","ERROR")</f>
        <v>OK</v>
      </c>
      <c r="M711" s="228"/>
      <c r="N711" s="228"/>
      <c r="O711" s="490"/>
      <c r="P711" s="461"/>
      <c r="Q711" s="490"/>
      <c r="R711" s="490"/>
      <c r="S711" s="490"/>
      <c r="T711" s="295"/>
      <c r="U711" s="295"/>
    </row>
    <row r="712" spans="1:21" ht="17.25" customHeight="1">
      <c r="A712" s="429" t="s">
        <v>1778</v>
      </c>
      <c r="B712" s="476" t="s">
        <v>1672</v>
      </c>
      <c r="C712" s="476"/>
      <c r="D712" s="476"/>
      <c r="E712" s="476"/>
      <c r="F712" s="476"/>
      <c r="G712" s="476"/>
      <c r="H712" s="208"/>
      <c r="I712" s="186"/>
      <c r="J712" s="503">
        <v>1455</v>
      </c>
      <c r="K712" s="490"/>
      <c r="L712" s="115" t="str">
        <f t="shared" si="31"/>
        <v>OK</v>
      </c>
      <c r="M712" s="228"/>
      <c r="N712" s="228"/>
      <c r="O712" s="490"/>
      <c r="P712" s="461"/>
      <c r="Q712" s="490"/>
      <c r="R712" s="490"/>
      <c r="S712" s="490"/>
      <c r="T712" s="295"/>
      <c r="U712" s="295"/>
    </row>
    <row r="713" spans="1:21" ht="17.25" customHeight="1">
      <c r="A713" s="429" t="s">
        <v>1779</v>
      </c>
      <c r="B713" s="476" t="s">
        <v>1673</v>
      </c>
      <c r="C713" s="476"/>
      <c r="D713" s="476"/>
      <c r="E713" s="476"/>
      <c r="F713" s="476"/>
      <c r="G713" s="476"/>
      <c r="H713" s="208"/>
      <c r="I713" s="186"/>
      <c r="J713" s="503">
        <v>1456</v>
      </c>
      <c r="K713" s="490"/>
      <c r="L713" s="115" t="str">
        <f t="shared" si="31"/>
        <v>OK</v>
      </c>
      <c r="M713" s="228"/>
      <c r="N713" s="228"/>
      <c r="O713" s="490"/>
      <c r="P713" s="461"/>
      <c r="Q713" s="490"/>
      <c r="R713" s="490"/>
      <c r="S713" s="490"/>
      <c r="T713" s="295"/>
      <c r="U713" s="295"/>
    </row>
    <row r="714" spans="1:21" ht="17.25" customHeight="1">
      <c r="A714" s="429" t="s">
        <v>1619</v>
      </c>
      <c r="B714" s="541" t="s">
        <v>1780</v>
      </c>
      <c r="C714" s="541"/>
      <c r="D714" s="541"/>
      <c r="E714" s="541"/>
      <c r="F714" s="541"/>
      <c r="G714" s="541"/>
      <c r="H714" s="208"/>
      <c r="I714" s="186"/>
      <c r="J714" s="503">
        <v>1457</v>
      </c>
      <c r="K714" s="490"/>
      <c r="L714" s="115" t="str">
        <f t="shared" si="31"/>
        <v>OK</v>
      </c>
      <c r="M714" s="228"/>
      <c r="N714" s="228"/>
      <c r="O714" s="490"/>
      <c r="P714" s="461"/>
      <c r="Q714" s="490"/>
      <c r="R714" s="490"/>
      <c r="S714" s="490"/>
      <c r="T714" s="295"/>
      <c r="U714" s="295"/>
    </row>
    <row r="715" spans="1:21" ht="17.25" customHeight="1">
      <c r="A715" s="429" t="s">
        <v>1620</v>
      </c>
      <c r="B715" s="539" t="s">
        <v>1781</v>
      </c>
      <c r="C715" s="539"/>
      <c r="D715" s="539"/>
      <c r="E715" s="539"/>
      <c r="F715" s="539"/>
      <c r="G715" s="539"/>
      <c r="H715" s="208"/>
      <c r="I715" s="186"/>
      <c r="J715" s="503">
        <v>1458</v>
      </c>
      <c r="K715" s="298"/>
      <c r="L715" s="115" t="str">
        <f t="shared" si="31"/>
        <v>OK</v>
      </c>
      <c r="M715" s="228"/>
      <c r="N715" s="477"/>
      <c r="O715" s="490"/>
      <c r="P715" s="461"/>
      <c r="Q715" s="490"/>
      <c r="R715" s="490"/>
      <c r="S715" s="490"/>
      <c r="T715" s="295"/>
      <c r="U715" s="295"/>
    </row>
    <row r="716" spans="1:21" ht="17.25" customHeight="1">
      <c r="A716" s="429" t="s">
        <v>1621</v>
      </c>
      <c r="B716" s="541" t="s">
        <v>1782</v>
      </c>
      <c r="C716" s="539"/>
      <c r="D716" s="539"/>
      <c r="E716" s="539"/>
      <c r="F716" s="539"/>
      <c r="G716" s="539"/>
      <c r="H716" s="208"/>
      <c r="I716" s="186"/>
      <c r="J716" s="503">
        <v>1459</v>
      </c>
      <c r="K716" s="298"/>
      <c r="L716" s="115" t="str">
        <f t="shared" si="31"/>
        <v>OK</v>
      </c>
      <c r="M716" s="228"/>
      <c r="N716" s="228"/>
      <c r="O716" s="490"/>
      <c r="P716" s="461"/>
      <c r="Q716" s="490"/>
      <c r="R716" s="490"/>
      <c r="S716" s="490"/>
      <c r="T716" s="295"/>
      <c r="U716" s="295"/>
    </row>
    <row r="717" spans="1:21" ht="17.25" customHeight="1" thickBot="1">
      <c r="A717" s="429" t="s">
        <v>1622</v>
      </c>
      <c r="B717" s="539" t="s">
        <v>1783</v>
      </c>
      <c r="C717" s="539"/>
      <c r="D717" s="539"/>
      <c r="E717" s="539"/>
      <c r="F717" s="539"/>
      <c r="G717" s="539"/>
      <c r="H717" s="208"/>
      <c r="I717" s="309" t="e">
        <f>0.75*(12.86%+I515+I516)*(I710+(IF(YEAR(I3)&lt;=2023,0.2,0.3))*I715)</f>
        <v>#VALUE!</v>
      </c>
      <c r="J717" s="503">
        <v>1462</v>
      </c>
      <c r="K717" s="490"/>
      <c r="L717" s="228"/>
      <c r="M717" s="228"/>
      <c r="N717" s="477"/>
      <c r="O717" s="490"/>
      <c r="P717" s="461"/>
      <c r="Q717" s="490"/>
      <c r="R717" s="490"/>
      <c r="S717" s="490"/>
      <c r="T717" s="295"/>
      <c r="U717" s="295"/>
    </row>
    <row r="718" spans="1:21" ht="17.25" customHeight="1" thickTop="1" thickBot="1">
      <c r="A718" s="429" t="s">
        <v>1623</v>
      </c>
      <c r="B718" s="539" t="s">
        <v>1784</v>
      </c>
      <c r="C718" s="539"/>
      <c r="D718" s="539"/>
      <c r="E718" s="539"/>
      <c r="F718" s="539"/>
      <c r="G718" s="539"/>
      <c r="H718" s="208"/>
      <c r="I718" s="309" t="e">
        <f>0.75*(4.5%+I518+I519)*(I714+(IF(YEAR(I3)&lt;=2023,0.2,0.3))*I716)</f>
        <v>#VALUE!</v>
      </c>
      <c r="J718" s="503">
        <v>1463</v>
      </c>
      <c r="K718" s="490"/>
      <c r="L718" s="228"/>
      <c r="M718" s="228"/>
      <c r="N718" s="228"/>
      <c r="O718" s="490"/>
      <c r="P718" s="461"/>
      <c r="Q718" s="490"/>
      <c r="R718" s="490"/>
      <c r="S718" s="490"/>
      <c r="T718" s="295"/>
      <c r="U718" s="295"/>
    </row>
    <row r="719" spans="1:21" ht="17.25" customHeight="1" thickTop="1" thickBot="1">
      <c r="A719" s="429" t="s">
        <v>1624</v>
      </c>
      <c r="B719" s="539" t="s">
        <v>1785</v>
      </c>
      <c r="C719" s="539"/>
      <c r="D719" s="539"/>
      <c r="E719" s="539"/>
      <c r="F719" s="539"/>
      <c r="G719" s="539"/>
      <c r="H719" s="208"/>
      <c r="I719" s="309" t="e">
        <f>I708+I709+MAX(I720,I721)</f>
        <v>#VALUE!</v>
      </c>
      <c r="J719" s="503">
        <v>1464</v>
      </c>
      <c r="K719" s="490"/>
      <c r="L719" s="228"/>
      <c r="M719" s="228"/>
      <c r="N719" s="228"/>
      <c r="O719" s="490"/>
      <c r="P719" s="461"/>
      <c r="Q719" s="490"/>
      <c r="R719" s="490"/>
      <c r="S719" s="490"/>
      <c r="T719" s="295"/>
      <c r="U719" s="295"/>
    </row>
    <row r="720" spans="1:21" ht="17.25" customHeight="1" thickTop="1" thickBot="1">
      <c r="A720" s="429" t="s">
        <v>1625</v>
      </c>
      <c r="B720" s="539" t="s">
        <v>1786</v>
      </c>
      <c r="C720" s="539"/>
      <c r="D720" s="539"/>
      <c r="E720" s="539"/>
      <c r="F720" s="539"/>
      <c r="G720" s="539"/>
      <c r="H720" s="208"/>
      <c r="I720" s="309" t="e">
        <f>IF(YEAR(I3)&lt;2022,0.086,0.1)*(0.75*I710+IF(YEAR(I3)&lt;2021,0,IF(YEAR(I3)=2021,0.05,IF(YEAR(I3)=2022,0.1,IF(YEAR(I3)=2023,0.2,0.3))))*I715)</f>
        <v>#VALUE!</v>
      </c>
      <c r="J720" s="503">
        <v>1465</v>
      </c>
      <c r="K720" s="490"/>
      <c r="L720" s="228"/>
      <c r="M720" s="228"/>
      <c r="N720" s="228"/>
      <c r="O720" s="490"/>
      <c r="P720" s="461"/>
      <c r="Q720" s="490"/>
      <c r="R720" s="490"/>
      <c r="S720" s="490"/>
      <c r="T720" s="295"/>
      <c r="U720" s="295"/>
    </row>
    <row r="721" spans="1:21" ht="17.25" customHeight="1" thickTop="1" thickBot="1">
      <c r="A721" s="429" t="s">
        <v>1626</v>
      </c>
      <c r="B721" s="539" t="s">
        <v>1787</v>
      </c>
      <c r="C721" s="539"/>
      <c r="D721" s="539"/>
      <c r="E721" s="539"/>
      <c r="F721" s="539"/>
      <c r="G721" s="539"/>
      <c r="H721" s="208"/>
      <c r="I721" s="309" t="e">
        <f>IF(YEAR(I3)&lt;2022,0.03,0.0375)*(0.75*I714+IF(YEAR(I3)&lt;2021,0,IF(YEAR(I3)=2021,0.05,IF(YEAR(I3)=2022,0.1,IF(YEAR(I3)=2023,0.2,0.3))))*I716)</f>
        <v>#VALUE!</v>
      </c>
      <c r="J721" s="503">
        <v>1466</v>
      </c>
      <c r="K721" s="490"/>
      <c r="L721" s="228"/>
      <c r="M721" s="228"/>
      <c r="N721" s="228"/>
      <c r="O721" s="490"/>
      <c r="P721" s="461"/>
      <c r="Q721" s="490"/>
      <c r="R721" s="490"/>
      <c r="S721" s="490"/>
      <c r="T721" s="295"/>
      <c r="U721" s="295"/>
    </row>
    <row r="722" spans="1:21" s="490" customFormat="1" ht="6" customHeight="1" thickTop="1">
      <c r="A722" s="261"/>
      <c r="B722" s="526"/>
      <c r="C722" s="526"/>
      <c r="D722" s="526"/>
      <c r="E722" s="526"/>
      <c r="F722" s="526"/>
      <c r="G722" s="526"/>
      <c r="H722" s="8"/>
      <c r="I722" s="277"/>
      <c r="J722" s="496"/>
      <c r="K722" s="6"/>
      <c r="L722" s="285"/>
      <c r="N722" s="460"/>
      <c r="O722" s="460"/>
      <c r="P722" s="460"/>
      <c r="Q722" s="460"/>
      <c r="R722" s="460"/>
      <c r="S722" s="460"/>
      <c r="T722" s="460"/>
      <c r="U722" s="460"/>
    </row>
    <row r="723" spans="1:21" ht="6" customHeight="1">
      <c r="A723" s="259"/>
      <c r="B723" s="527"/>
      <c r="C723" s="527"/>
      <c r="D723" s="527"/>
      <c r="E723" s="527"/>
      <c r="F723" s="527"/>
      <c r="G723" s="527"/>
      <c r="H723" s="134"/>
      <c r="I723" s="135"/>
      <c r="J723" s="280"/>
      <c r="K723" s="5"/>
      <c r="L723" s="285"/>
    </row>
    <row r="724" spans="1:21" ht="33" customHeight="1">
      <c r="A724" s="361">
        <v>4</v>
      </c>
      <c r="B724" s="540" t="s">
        <v>298</v>
      </c>
      <c r="C724" s="540"/>
      <c r="D724" s="540"/>
      <c r="E724" s="540"/>
      <c r="F724" s="540"/>
      <c r="G724" s="540"/>
      <c r="H724" s="181"/>
      <c r="I724" s="282"/>
      <c r="J724" s="280"/>
      <c r="K724" s="5"/>
      <c r="L724" s="285"/>
      <c r="N724" s="490"/>
      <c r="O724" s="490"/>
      <c r="P724" s="490"/>
      <c r="Q724" s="490"/>
      <c r="R724" s="490"/>
      <c r="S724" s="490"/>
    </row>
    <row r="725" spans="1:21" ht="25.5" customHeight="1">
      <c r="A725" s="349" t="s">
        <v>928</v>
      </c>
      <c r="B725" s="537" t="s">
        <v>927</v>
      </c>
      <c r="C725" s="537"/>
      <c r="D725" s="537"/>
      <c r="E725" s="537"/>
      <c r="F725" s="537"/>
      <c r="G725" s="537"/>
      <c r="H725" s="208"/>
      <c r="I725" s="282"/>
      <c r="J725" s="280"/>
      <c r="K725" s="6"/>
      <c r="L725" s="490"/>
    </row>
    <row r="726" spans="1:21" ht="24.75" customHeight="1">
      <c r="A726" s="349" t="s">
        <v>929</v>
      </c>
      <c r="B726" s="538" t="s">
        <v>931</v>
      </c>
      <c r="C726" s="538" t="s">
        <v>931</v>
      </c>
      <c r="D726" s="538" t="s">
        <v>931</v>
      </c>
      <c r="E726" s="538" t="s">
        <v>931</v>
      </c>
      <c r="F726" s="538" t="s">
        <v>931</v>
      </c>
      <c r="G726" s="538" t="s">
        <v>931</v>
      </c>
      <c r="H726" s="208"/>
      <c r="I726" s="282"/>
      <c r="J726" s="280"/>
      <c r="K726" s="6"/>
      <c r="L726" s="490"/>
    </row>
    <row r="727" spans="1:21" ht="33" customHeight="1">
      <c r="A727" s="355" t="s">
        <v>930</v>
      </c>
      <c r="B727" s="528" t="s">
        <v>1242</v>
      </c>
      <c r="C727" s="528"/>
      <c r="D727" s="528"/>
      <c r="E727" s="528"/>
      <c r="F727" s="528"/>
      <c r="G727" s="528"/>
      <c r="H727" s="208"/>
      <c r="I727" s="431"/>
      <c r="J727" s="280"/>
      <c r="K727" s="6"/>
      <c r="L727" s="490"/>
    </row>
    <row r="728" spans="1:21" ht="17.25" customHeight="1" thickBot="1">
      <c r="A728" s="356" t="s">
        <v>947</v>
      </c>
      <c r="B728" s="529" t="s">
        <v>932</v>
      </c>
      <c r="C728" s="529" t="s">
        <v>932</v>
      </c>
      <c r="D728" s="529" t="s">
        <v>932</v>
      </c>
      <c r="E728" s="529" t="s">
        <v>932</v>
      </c>
      <c r="F728" s="529" t="s">
        <v>932</v>
      </c>
      <c r="G728" s="529" t="s">
        <v>932</v>
      </c>
      <c r="H728" s="208"/>
      <c r="I728" s="405">
        <f>IF(OR(I389="",I389=0),0,I683/(12.5*I389))</f>
        <v>0</v>
      </c>
      <c r="J728" s="280">
        <v>1467</v>
      </c>
      <c r="K728" s="6"/>
      <c r="L728" s="228"/>
      <c r="N728" s="490"/>
    </row>
    <row r="729" spans="1:21" ht="17.25" customHeight="1" thickTop="1">
      <c r="A729" s="402" t="s">
        <v>948</v>
      </c>
      <c r="B729" s="533" t="s">
        <v>933</v>
      </c>
      <c r="C729" s="533" t="s">
        <v>934</v>
      </c>
      <c r="D729" s="533" t="s">
        <v>934</v>
      </c>
      <c r="E729" s="533" t="s">
        <v>934</v>
      </c>
      <c r="F729" s="533" t="s">
        <v>934</v>
      </c>
      <c r="G729" s="533" t="s">
        <v>934</v>
      </c>
      <c r="H729" s="208"/>
      <c r="I729" s="371" t="e">
        <f>I531</f>
        <v>#VALUE!</v>
      </c>
      <c r="J729" s="493"/>
      <c r="K729" s="6"/>
      <c r="L729" s="285"/>
      <c r="N729" s="488"/>
    </row>
    <row r="730" spans="1:21" ht="17.25" customHeight="1">
      <c r="A730" s="402" t="s">
        <v>949</v>
      </c>
      <c r="B730" s="533" t="s">
        <v>935</v>
      </c>
      <c r="C730" s="533" t="s">
        <v>936</v>
      </c>
      <c r="D730" s="533" t="s">
        <v>936</v>
      </c>
      <c r="E730" s="533" t="s">
        <v>936</v>
      </c>
      <c r="F730" s="533" t="s">
        <v>936</v>
      </c>
      <c r="G730" s="533" t="s">
        <v>936</v>
      </c>
      <c r="H730" s="208"/>
      <c r="I730" s="371" t="e">
        <f>I531+I538</f>
        <v>#VALUE!</v>
      </c>
      <c r="J730" s="493"/>
      <c r="K730" s="6"/>
      <c r="L730" s="285"/>
      <c r="N730" s="488"/>
    </row>
    <row r="731" spans="1:21" ht="17.25" customHeight="1">
      <c r="A731" s="402" t="s">
        <v>950</v>
      </c>
      <c r="B731" s="533" t="s">
        <v>937</v>
      </c>
      <c r="C731" s="533" t="s">
        <v>936</v>
      </c>
      <c r="D731" s="533" t="s">
        <v>936</v>
      </c>
      <c r="E731" s="533" t="s">
        <v>936</v>
      </c>
      <c r="F731" s="533" t="s">
        <v>936</v>
      </c>
      <c r="G731" s="533" t="s">
        <v>936</v>
      </c>
      <c r="H731" s="208"/>
      <c r="I731" s="371" t="e">
        <f>I531+I538+I539</f>
        <v>#VALUE!</v>
      </c>
      <c r="J731" s="493"/>
      <c r="K731" s="6"/>
      <c r="L731" s="285"/>
      <c r="N731" s="488"/>
    </row>
    <row r="732" spans="1:21" ht="17.25" customHeight="1">
      <c r="A732" s="402" t="s">
        <v>951</v>
      </c>
      <c r="B732" s="533" t="s">
        <v>938</v>
      </c>
      <c r="C732" s="533" t="s">
        <v>936</v>
      </c>
      <c r="D732" s="533" t="s">
        <v>936</v>
      </c>
      <c r="E732" s="533" t="s">
        <v>936</v>
      </c>
      <c r="F732" s="533" t="s">
        <v>936</v>
      </c>
      <c r="G732" s="533" t="s">
        <v>936</v>
      </c>
      <c r="H732" s="208"/>
      <c r="I732" s="371" t="e">
        <f>I531+I538+I539+I540</f>
        <v>#VALUE!</v>
      </c>
      <c r="J732" s="493"/>
      <c r="K732" s="6"/>
      <c r="L732" s="285"/>
      <c r="N732" s="488"/>
    </row>
    <row r="733" spans="1:21" ht="28.5" customHeight="1" thickBot="1">
      <c r="A733" s="322" t="s">
        <v>1627</v>
      </c>
      <c r="B733" s="536" t="s">
        <v>939</v>
      </c>
      <c r="C733" s="536" t="s">
        <v>936</v>
      </c>
      <c r="D733" s="536" t="s">
        <v>936</v>
      </c>
      <c r="E733" s="536" t="s">
        <v>936</v>
      </c>
      <c r="F733" s="536" t="s">
        <v>936</v>
      </c>
      <c r="G733" s="536" t="s">
        <v>936</v>
      </c>
      <c r="H733" s="208"/>
      <c r="I733" s="405" t="e">
        <f>I530</f>
        <v>#VALUE!</v>
      </c>
      <c r="J733" s="280">
        <v>1468</v>
      </c>
      <c r="K733" s="6"/>
      <c r="L733" s="285"/>
      <c r="N733" s="488"/>
    </row>
    <row r="734" spans="1:21" ht="17.25" customHeight="1" thickTop="1">
      <c r="A734" s="402" t="s">
        <v>952</v>
      </c>
      <c r="B734" s="533" t="s">
        <v>940</v>
      </c>
      <c r="C734" s="533" t="s">
        <v>940</v>
      </c>
      <c r="D734" s="533" t="s">
        <v>940</v>
      </c>
      <c r="E734" s="533" t="s">
        <v>940</v>
      </c>
      <c r="F734" s="533" t="s">
        <v>940</v>
      </c>
      <c r="G734" s="533" t="s">
        <v>940</v>
      </c>
      <c r="H734" s="208"/>
      <c r="I734" s="371">
        <f>IF(OR(I389="",I389=0),0,I684/(12.5*I389))</f>
        <v>0</v>
      </c>
      <c r="J734" s="493"/>
      <c r="K734" s="6"/>
      <c r="L734" s="285"/>
      <c r="N734" s="488"/>
    </row>
    <row r="735" spans="1:21" ht="17.25" customHeight="1">
      <c r="A735" s="402" t="s">
        <v>953</v>
      </c>
      <c r="B735" s="533" t="s">
        <v>941</v>
      </c>
      <c r="C735" s="533" t="s">
        <v>941</v>
      </c>
      <c r="D735" s="533" t="s">
        <v>941</v>
      </c>
      <c r="E735" s="533" t="s">
        <v>941</v>
      </c>
      <c r="F735" s="533" t="s">
        <v>941</v>
      </c>
      <c r="G735" s="533" t="s">
        <v>941</v>
      </c>
      <c r="H735" s="208"/>
      <c r="I735" s="371">
        <f>IF(OR(I389="",I389=0),0,(I684-I685)/(12.5*I389))</f>
        <v>0</v>
      </c>
      <c r="J735" s="493"/>
      <c r="K735" s="6"/>
      <c r="L735" s="285"/>
      <c r="N735" s="488"/>
    </row>
    <row r="736" spans="1:21" ht="17.25" customHeight="1">
      <c r="A736" s="402" t="s">
        <v>954</v>
      </c>
      <c r="B736" s="533" t="s">
        <v>1425</v>
      </c>
      <c r="C736" s="533" t="s">
        <v>941</v>
      </c>
      <c r="D736" s="533" t="s">
        <v>941</v>
      </c>
      <c r="E736" s="533" t="s">
        <v>941</v>
      </c>
      <c r="F736" s="533" t="s">
        <v>941</v>
      </c>
      <c r="G736" s="533" t="s">
        <v>941</v>
      </c>
      <c r="H736" s="208"/>
      <c r="I736" s="371">
        <f>IF(OR(I389="",I389=0),0,(I684-I685+I384)/(12.5*I389))</f>
        <v>0</v>
      </c>
      <c r="J736" s="493"/>
      <c r="K736" s="6"/>
      <c r="L736" s="285"/>
      <c r="N736" s="488"/>
    </row>
    <row r="737" spans="1:15" ht="17.25" customHeight="1">
      <c r="A737" s="402" t="s">
        <v>955</v>
      </c>
      <c r="B737" s="533" t="s">
        <v>942</v>
      </c>
      <c r="C737" s="533" t="s">
        <v>942</v>
      </c>
      <c r="D737" s="533" t="s">
        <v>942</v>
      </c>
      <c r="E737" s="533" t="s">
        <v>942</v>
      </c>
      <c r="F737" s="533" t="s">
        <v>942</v>
      </c>
      <c r="G737" s="533" t="s">
        <v>942</v>
      </c>
      <c r="H737" s="208"/>
      <c r="I737" s="371" t="e">
        <f>I528</f>
        <v>#VALUE!</v>
      </c>
      <c r="J737" s="493"/>
      <c r="K737" s="6"/>
      <c r="L737" s="490"/>
      <c r="N737" s="490"/>
    </row>
    <row r="738" spans="1:15" ht="17.25" customHeight="1">
      <c r="A738" s="402" t="s">
        <v>956</v>
      </c>
      <c r="B738" s="533" t="s">
        <v>943</v>
      </c>
      <c r="C738" s="533" t="s">
        <v>944</v>
      </c>
      <c r="D738" s="533" t="s">
        <v>944</v>
      </c>
      <c r="E738" s="533" t="s">
        <v>944</v>
      </c>
      <c r="F738" s="533" t="s">
        <v>944</v>
      </c>
      <c r="G738" s="533" t="s">
        <v>944</v>
      </c>
      <c r="H738" s="208"/>
      <c r="I738" s="371" t="e">
        <f>I528+I538</f>
        <v>#VALUE!</v>
      </c>
      <c r="J738" s="493"/>
      <c r="K738" s="6"/>
      <c r="L738" s="490"/>
      <c r="N738" s="490"/>
    </row>
    <row r="739" spans="1:15" ht="17.25" customHeight="1">
      <c r="A739" s="402" t="s">
        <v>957</v>
      </c>
      <c r="B739" s="533" t="s">
        <v>945</v>
      </c>
      <c r="C739" s="533" t="s">
        <v>944</v>
      </c>
      <c r="D739" s="533" t="s">
        <v>944</v>
      </c>
      <c r="E739" s="533" t="s">
        <v>944</v>
      </c>
      <c r="F739" s="533" t="s">
        <v>944</v>
      </c>
      <c r="G739" s="533" t="s">
        <v>944</v>
      </c>
      <c r="H739" s="208"/>
      <c r="I739" s="371">
        <f>IF(OR(I389="",I389=0),0,I528+I538+(I604/(12.5*I389)))</f>
        <v>0</v>
      </c>
      <c r="J739" s="493"/>
      <c r="K739" s="6"/>
      <c r="L739" s="490"/>
      <c r="N739" s="490"/>
    </row>
    <row r="740" spans="1:15" ht="17.25" customHeight="1">
      <c r="A740" s="402" t="s">
        <v>958</v>
      </c>
      <c r="B740" s="533" t="s">
        <v>946</v>
      </c>
      <c r="C740" s="533" t="s">
        <v>944</v>
      </c>
      <c r="D740" s="533" t="s">
        <v>944</v>
      </c>
      <c r="E740" s="533" t="s">
        <v>944</v>
      </c>
      <c r="F740" s="533" t="s">
        <v>944</v>
      </c>
      <c r="G740" s="533" t="s">
        <v>944</v>
      </c>
      <c r="H740" s="208"/>
      <c r="I740" s="371">
        <f>IF(OR(I389="",I389=0),0,I528+I538+(I604/(12.5*I389))+(I607/(12.5*I389)))</f>
        <v>0</v>
      </c>
      <c r="J740" s="493"/>
      <c r="K740" s="6"/>
      <c r="L740" s="490"/>
      <c r="N740" s="490"/>
    </row>
    <row r="741" spans="1:15" ht="17.25" customHeight="1" thickBot="1">
      <c r="A741" s="356" t="s">
        <v>959</v>
      </c>
      <c r="B741" s="487" t="s">
        <v>961</v>
      </c>
      <c r="C741" s="487"/>
      <c r="D741" s="487"/>
      <c r="E741" s="487"/>
      <c r="F741" s="487"/>
      <c r="G741" s="487"/>
      <c r="H741" s="208"/>
      <c r="I741" s="405" t="e">
        <f>I728-(I735-I736)-I733</f>
        <v>#VALUE!</v>
      </c>
      <c r="J741" s="280">
        <v>1469</v>
      </c>
      <c r="K741" s="6"/>
      <c r="L741" s="490"/>
      <c r="N741" s="490"/>
    </row>
    <row r="742" spans="1:15" ht="17.25" customHeight="1" thickTop="1" thickBot="1">
      <c r="A742" s="356" t="s">
        <v>960</v>
      </c>
      <c r="B742" s="487" t="s">
        <v>962</v>
      </c>
      <c r="C742" s="487"/>
      <c r="D742" s="487"/>
      <c r="E742" s="487"/>
      <c r="F742" s="487"/>
      <c r="G742" s="487"/>
      <c r="H742" s="208"/>
      <c r="I742" s="405">
        <f>I736-I740</f>
        <v>0</v>
      </c>
      <c r="J742" s="280">
        <v>1470</v>
      </c>
      <c r="K742" s="6"/>
      <c r="L742" s="490"/>
      <c r="N742" s="490"/>
    </row>
    <row r="743" spans="1:15" ht="33" customHeight="1" thickTop="1">
      <c r="A743" s="355" t="s">
        <v>963</v>
      </c>
      <c r="B743" s="534" t="s">
        <v>1243</v>
      </c>
      <c r="C743" s="534"/>
      <c r="D743" s="534"/>
      <c r="E743" s="534"/>
      <c r="F743" s="534"/>
      <c r="G743" s="534"/>
      <c r="H743" s="208"/>
      <c r="I743" s="311"/>
      <c r="J743" s="280"/>
      <c r="K743" s="6"/>
      <c r="L743" s="490"/>
      <c r="N743" s="490"/>
    </row>
    <row r="744" spans="1:15" ht="17.25" customHeight="1">
      <c r="A744" s="402" t="s">
        <v>997</v>
      </c>
      <c r="B744" s="535" t="s">
        <v>981</v>
      </c>
      <c r="C744" s="535" t="s">
        <v>982</v>
      </c>
      <c r="D744" s="535" t="s">
        <v>982</v>
      </c>
      <c r="E744" s="535" t="s">
        <v>982</v>
      </c>
      <c r="F744" s="535" t="s">
        <v>982</v>
      </c>
      <c r="G744" s="535" t="s">
        <v>982</v>
      </c>
      <c r="H744" s="208"/>
      <c r="I744" s="371">
        <f>'CSIB_LERA_BIS.MELD'!I47</f>
        <v>0</v>
      </c>
      <c r="J744" s="493"/>
      <c r="K744" s="6"/>
      <c r="L744" s="228" t="s">
        <v>1239</v>
      </c>
    </row>
    <row r="745" spans="1:15" ht="17.25" customHeight="1" thickBot="1">
      <c r="A745" s="356" t="s">
        <v>998</v>
      </c>
      <c r="B745" s="525" t="s">
        <v>983</v>
      </c>
      <c r="C745" s="525" t="s">
        <v>982</v>
      </c>
      <c r="D745" s="525" t="s">
        <v>982</v>
      </c>
      <c r="E745" s="525" t="s">
        <v>982</v>
      </c>
      <c r="F745" s="525" t="s">
        <v>982</v>
      </c>
      <c r="G745" s="525" t="s">
        <v>982</v>
      </c>
      <c r="H745" s="208"/>
      <c r="I745" s="405">
        <f>IF(OR(I502="",I502=0),0,SUM(I621,I623:I625)/(I502-I504))</f>
        <v>0</v>
      </c>
      <c r="J745" s="280">
        <v>1471</v>
      </c>
      <c r="K745" s="6"/>
      <c r="L745" s="362"/>
      <c r="N745" s="488"/>
    </row>
    <row r="746" spans="1:15" ht="17.25" customHeight="1" thickTop="1">
      <c r="A746" s="402" t="s">
        <v>999</v>
      </c>
      <c r="B746" s="533" t="s">
        <v>984</v>
      </c>
      <c r="C746" s="533" t="s">
        <v>982</v>
      </c>
      <c r="D746" s="533" t="s">
        <v>982</v>
      </c>
      <c r="E746" s="533" t="s">
        <v>982</v>
      </c>
      <c r="F746" s="533" t="s">
        <v>982</v>
      </c>
      <c r="G746" s="533" t="s">
        <v>982</v>
      </c>
      <c r="H746" s="208"/>
      <c r="I746" s="371">
        <f>IF(OR(I502="",I502=0),0,SUM(I621,I623:I625)/(I502-I504))</f>
        <v>0</v>
      </c>
      <c r="J746" s="493"/>
      <c r="K746" s="363"/>
      <c r="L746" s="362"/>
      <c r="N746" s="364"/>
      <c r="O746" s="257"/>
    </row>
    <row r="747" spans="1:15" ht="17.25" customHeight="1">
      <c r="A747" s="402" t="s">
        <v>1145</v>
      </c>
      <c r="B747" s="533" t="s">
        <v>985</v>
      </c>
      <c r="C747" s="533" t="s">
        <v>982</v>
      </c>
      <c r="D747" s="533" t="s">
        <v>982</v>
      </c>
      <c r="E747" s="533" t="s">
        <v>982</v>
      </c>
      <c r="F747" s="533" t="s">
        <v>982</v>
      </c>
      <c r="G747" s="533" t="s">
        <v>982</v>
      </c>
      <c r="H747" s="208"/>
      <c r="I747" s="371">
        <f>IF(OR(I502="",I502=0),0,SUM(I621,I623:I624)/(I502-I504))</f>
        <v>0</v>
      </c>
      <c r="J747" s="493"/>
      <c r="K747" s="363"/>
      <c r="L747" s="362"/>
      <c r="N747" s="364"/>
      <c r="O747" s="257"/>
    </row>
    <row r="748" spans="1:15" ht="17.25" customHeight="1" thickBot="1">
      <c r="A748" s="356" t="s">
        <v>1000</v>
      </c>
      <c r="B748" s="525" t="s">
        <v>986</v>
      </c>
      <c r="C748" s="525" t="s">
        <v>987</v>
      </c>
      <c r="D748" s="525" t="s">
        <v>987</v>
      </c>
      <c r="E748" s="525" t="s">
        <v>987</v>
      </c>
      <c r="F748" s="525" t="s">
        <v>987</v>
      </c>
      <c r="G748" s="525" t="s">
        <v>987</v>
      </c>
      <c r="H748" s="208"/>
      <c r="I748" s="405" t="e">
        <f>I547</f>
        <v>#VALUE!</v>
      </c>
      <c r="J748" s="280">
        <v>1472</v>
      </c>
      <c r="K748" s="6"/>
      <c r="L748" s="285"/>
      <c r="N748" s="488"/>
    </row>
    <row r="749" spans="1:15" ht="17.25" customHeight="1" thickTop="1">
      <c r="A749" s="402" t="s">
        <v>1001</v>
      </c>
      <c r="B749" s="533" t="s">
        <v>988</v>
      </c>
      <c r="C749" s="533" t="s">
        <v>988</v>
      </c>
      <c r="D749" s="533" t="s">
        <v>988</v>
      </c>
      <c r="E749" s="533" t="s">
        <v>988</v>
      </c>
      <c r="F749" s="533" t="s">
        <v>988</v>
      </c>
      <c r="G749" s="533" t="s">
        <v>988</v>
      </c>
      <c r="H749" s="208"/>
      <c r="I749" s="371">
        <f>IF(OR(I502="",I502=0),0,SUM(I621,I623)/(I502-I504))</f>
        <v>0</v>
      </c>
      <c r="J749" s="493"/>
      <c r="K749" s="6"/>
      <c r="L749" s="490"/>
      <c r="N749" s="490"/>
    </row>
    <row r="750" spans="1:15" ht="17.25" customHeight="1">
      <c r="A750" s="402" t="s">
        <v>1002</v>
      </c>
      <c r="B750" s="533" t="s">
        <v>989</v>
      </c>
      <c r="C750" s="533" t="s">
        <v>989</v>
      </c>
      <c r="D750" s="533" t="s">
        <v>989</v>
      </c>
      <c r="E750" s="533" t="s">
        <v>989</v>
      </c>
      <c r="F750" s="533" t="s">
        <v>989</v>
      </c>
      <c r="G750" s="533" t="s">
        <v>989</v>
      </c>
      <c r="H750" s="208"/>
      <c r="I750" s="371" t="e">
        <f>I552+I549</f>
        <v>#VALUE!</v>
      </c>
      <c r="J750" s="493"/>
      <c r="K750" s="6"/>
      <c r="L750" s="490"/>
      <c r="N750" s="490"/>
    </row>
    <row r="751" spans="1:15" ht="17.25" customHeight="1" thickBot="1">
      <c r="A751" s="356" t="s">
        <v>1003</v>
      </c>
      <c r="B751" s="525" t="s">
        <v>961</v>
      </c>
      <c r="C751" s="525"/>
      <c r="D751" s="525"/>
      <c r="E751" s="525"/>
      <c r="F751" s="525"/>
      <c r="G751" s="525"/>
      <c r="H751" s="208"/>
      <c r="I751" s="405" t="e">
        <f>I745-I748</f>
        <v>#VALUE!</v>
      </c>
      <c r="J751" s="280">
        <v>1473</v>
      </c>
      <c r="K751" s="6"/>
      <c r="L751" s="490"/>
      <c r="N751" s="490"/>
    </row>
    <row r="752" spans="1:15" ht="17.25" customHeight="1" thickTop="1" thickBot="1">
      <c r="A752" s="356" t="s">
        <v>1004</v>
      </c>
      <c r="B752" s="525" t="s">
        <v>962</v>
      </c>
      <c r="C752" s="525"/>
      <c r="D752" s="525"/>
      <c r="E752" s="525"/>
      <c r="F752" s="525"/>
      <c r="G752" s="525"/>
      <c r="H752" s="208"/>
      <c r="I752" s="405" t="e">
        <f>I749-I750</f>
        <v>#VALUE!</v>
      </c>
      <c r="J752" s="280">
        <v>1474</v>
      </c>
      <c r="K752" s="6"/>
      <c r="L752" s="490"/>
      <c r="N752" s="490"/>
    </row>
    <row r="753" spans="1:16" ht="33" customHeight="1" thickTop="1">
      <c r="A753" s="355" t="s">
        <v>593</v>
      </c>
      <c r="B753" s="521" t="s">
        <v>1244</v>
      </c>
      <c r="C753" s="521"/>
      <c r="D753" s="521"/>
      <c r="E753" s="521"/>
      <c r="F753" s="521"/>
      <c r="G753" s="521"/>
      <c r="H753" s="208"/>
      <c r="I753" s="311"/>
      <c r="J753" s="280"/>
      <c r="K753" s="6"/>
      <c r="L753" s="490"/>
      <c r="N753" s="490"/>
    </row>
    <row r="754" spans="1:16" ht="17.25" customHeight="1" thickBot="1">
      <c r="A754" s="356" t="s">
        <v>1005</v>
      </c>
      <c r="B754" s="522" t="s">
        <v>1628</v>
      </c>
      <c r="C754" s="522" t="s">
        <v>990</v>
      </c>
      <c r="D754" s="522" t="s">
        <v>990</v>
      </c>
      <c r="E754" s="522" t="s">
        <v>990</v>
      </c>
      <c r="F754" s="522" t="s">
        <v>990</v>
      </c>
      <c r="G754" s="522" t="s">
        <v>990</v>
      </c>
      <c r="H754" s="208"/>
      <c r="I754" s="405">
        <f>IF(OR(I389="",I389=0),0,I691/(12.5*I389))</f>
        <v>0</v>
      </c>
      <c r="J754" s="280">
        <v>1475</v>
      </c>
      <c r="K754" s="6"/>
      <c r="L754" s="285"/>
      <c r="N754" s="488"/>
    </row>
    <row r="755" spans="1:16" ht="17.25" customHeight="1" thickTop="1" thickBot="1">
      <c r="A755" s="356" t="s">
        <v>1006</v>
      </c>
      <c r="B755" s="523" t="s">
        <v>1629</v>
      </c>
      <c r="C755" s="523" t="s">
        <v>991</v>
      </c>
      <c r="D755" s="523" t="s">
        <v>991</v>
      </c>
      <c r="E755" s="523" t="s">
        <v>991</v>
      </c>
      <c r="F755" s="523" t="s">
        <v>991</v>
      </c>
      <c r="G755" s="523" t="s">
        <v>991</v>
      </c>
      <c r="H755" s="208"/>
      <c r="I755" s="405" t="e">
        <f>IF(AND(I512=1,I513="B"),"",I558)</f>
        <v>#VALUE!</v>
      </c>
      <c r="J755" s="280">
        <v>1476</v>
      </c>
      <c r="K755" s="6"/>
      <c r="L755" s="285"/>
      <c r="N755" s="488"/>
    </row>
    <row r="756" spans="1:16" ht="17.25" customHeight="1" thickTop="1" thickBot="1">
      <c r="A756" s="356" t="s">
        <v>1007</v>
      </c>
      <c r="B756" s="523" t="s">
        <v>1630</v>
      </c>
      <c r="C756" s="523" t="s">
        <v>992</v>
      </c>
      <c r="D756" s="523" t="s">
        <v>992</v>
      </c>
      <c r="E756" s="523" t="s">
        <v>992</v>
      </c>
      <c r="F756" s="523" t="s">
        <v>992</v>
      </c>
      <c r="G756" s="523" t="s">
        <v>992</v>
      </c>
      <c r="H756" s="208"/>
      <c r="I756" s="405">
        <f>IF(OR(I502="",I502=0),0,I691/I502)</f>
        <v>0</v>
      </c>
      <c r="J756" s="280">
        <v>1477</v>
      </c>
      <c r="K756" s="6"/>
      <c r="L756" s="285"/>
      <c r="N756" s="488"/>
    </row>
    <row r="757" spans="1:16" ht="17.25" customHeight="1" thickTop="1" thickBot="1">
      <c r="A757" s="356" t="s">
        <v>1008</v>
      </c>
      <c r="B757" s="523" t="s">
        <v>1631</v>
      </c>
      <c r="C757" s="523" t="s">
        <v>986</v>
      </c>
      <c r="D757" s="523" t="s">
        <v>986</v>
      </c>
      <c r="E757" s="523" t="s">
        <v>986</v>
      </c>
      <c r="F757" s="523" t="s">
        <v>986</v>
      </c>
      <c r="G757" s="523" t="s">
        <v>986</v>
      </c>
      <c r="H757" s="208"/>
      <c r="I757" s="405" t="e">
        <f>IF(AND(I512=1,I513="B"),"",I568)</f>
        <v>#VALUE!</v>
      </c>
      <c r="J757" s="280">
        <v>1478</v>
      </c>
      <c r="K757" s="6"/>
      <c r="L757" s="285"/>
      <c r="N757" s="488"/>
    </row>
    <row r="758" spans="1:16" ht="17.25" customHeight="1" thickTop="1" thickBot="1">
      <c r="A758" s="356" t="s">
        <v>1632</v>
      </c>
      <c r="B758" s="523" t="s">
        <v>1633</v>
      </c>
      <c r="C758" s="523"/>
      <c r="D758" s="523"/>
      <c r="E758" s="523"/>
      <c r="F758" s="523"/>
      <c r="G758" s="523"/>
      <c r="H758" s="208"/>
      <c r="I758" s="481">
        <f>IF(AND(I512=1,I513="B"),(I699+ABS(I367)+ABS(I371)+I379+I380)/I707,0)</f>
        <v>0</v>
      </c>
      <c r="J758" s="280">
        <v>1479</v>
      </c>
      <c r="K758" s="6"/>
      <c r="L758" s="490"/>
      <c r="N758" s="488"/>
      <c r="P758" s="461"/>
    </row>
    <row r="759" spans="1:16" ht="17.25" customHeight="1" thickTop="1">
      <c r="A759" s="356" t="s">
        <v>1634</v>
      </c>
      <c r="B759" s="523" t="s">
        <v>1751</v>
      </c>
      <c r="C759" s="523"/>
      <c r="D759" s="523"/>
      <c r="E759" s="523"/>
      <c r="F759" s="523"/>
      <c r="G759" s="523"/>
      <c r="H759" s="208"/>
      <c r="I759" s="14"/>
      <c r="J759" s="280">
        <v>1480</v>
      </c>
      <c r="K759" s="6"/>
      <c r="L759" s="490"/>
      <c r="N759" s="488"/>
      <c r="P759" s="461"/>
    </row>
    <row r="760" spans="1:16" ht="33" customHeight="1">
      <c r="A760" s="355" t="s">
        <v>594</v>
      </c>
      <c r="B760" s="521" t="s">
        <v>1731</v>
      </c>
      <c r="C760" s="521"/>
      <c r="D760" s="521"/>
      <c r="E760" s="521"/>
      <c r="F760" s="521"/>
      <c r="G760" s="521"/>
      <c r="H760" s="208"/>
      <c r="I760" s="311"/>
      <c r="J760" s="280"/>
      <c r="K760" s="6"/>
      <c r="L760" s="490"/>
      <c r="N760" s="490"/>
      <c r="O760" s="365"/>
    </row>
    <row r="761" spans="1:16" ht="17.25" customHeight="1" thickBot="1">
      <c r="A761" s="356" t="s">
        <v>1009</v>
      </c>
      <c r="B761" s="522" t="s">
        <v>993</v>
      </c>
      <c r="C761" s="522" t="s">
        <v>993</v>
      </c>
      <c r="D761" s="522" t="s">
        <v>993</v>
      </c>
      <c r="E761" s="522" t="s">
        <v>993</v>
      </c>
      <c r="F761" s="522" t="s">
        <v>993</v>
      </c>
      <c r="G761" s="522" t="s">
        <v>993</v>
      </c>
      <c r="H761" s="208"/>
      <c r="I761" s="405">
        <f>IF(I389=0,0,I702/(12.5*I389))</f>
        <v>0</v>
      </c>
      <c r="J761" s="280">
        <v>1481</v>
      </c>
      <c r="K761" s="490"/>
      <c r="L761" s="115" t="str">
        <f>IF(I761&gt;=0,"OK","ERROR")</f>
        <v>OK</v>
      </c>
      <c r="N761" s="490"/>
      <c r="O761" s="532"/>
    </row>
    <row r="762" spans="1:16" ht="17.25" customHeight="1" thickTop="1" thickBot="1">
      <c r="A762" s="356" t="s">
        <v>1010</v>
      </c>
      <c r="B762" s="523" t="s">
        <v>1426</v>
      </c>
      <c r="C762" s="523" t="s">
        <v>994</v>
      </c>
      <c r="D762" s="523" t="s">
        <v>994</v>
      </c>
      <c r="E762" s="523" t="s">
        <v>994</v>
      </c>
      <c r="F762" s="523" t="s">
        <v>994</v>
      </c>
      <c r="G762" s="523" t="s">
        <v>994</v>
      </c>
      <c r="H762" s="208"/>
      <c r="I762" s="481" t="e">
        <f>IF(I1="PSIB_CASABISIRB","",IF(AND(I1="CSIB_CASABISIRB",I512=2),"",IF(AND(I1="CSIB_CASABISIRB",I512=1,I513="A"),"",IF(AND(I1="CSIB_CASABISIRB",I512=1,I513="B"),"",IF(AND(I1="CSIB_CASABISIRB",I512=1,I513="C",YEAR(I3)&gt;=2019,YEAR(I3)&lt;2022),16%+I535+I538+I539+I540,IF(AND(I1="CSIB_CASABISIRB",I512=1,I513="C",YEAR(I3)&gt;=2022),18%+I535+I538+I539+I540))))))</f>
        <v>#VALUE!</v>
      </c>
      <c r="J762" s="280">
        <v>1482</v>
      </c>
      <c r="K762" s="490"/>
      <c r="L762" s="115" t="e">
        <f>IF(OR(I762=0,I762=""),"",IF(AND(I762&gt;0,I762&lt;=I761),"OK","ERROR"))</f>
        <v>#VALUE!</v>
      </c>
      <c r="M762" s="228"/>
      <c r="N762" s="490"/>
      <c r="O762" s="532"/>
    </row>
    <row r="763" spans="1:16" ht="17.25" customHeight="1" thickTop="1" thickBot="1">
      <c r="A763" s="356" t="s">
        <v>1011</v>
      </c>
      <c r="B763" s="523" t="s">
        <v>1635</v>
      </c>
      <c r="C763" s="523" t="s">
        <v>995</v>
      </c>
      <c r="D763" s="523" t="s">
        <v>995</v>
      </c>
      <c r="E763" s="523" t="s">
        <v>995</v>
      </c>
      <c r="F763" s="523" t="s">
        <v>995</v>
      </c>
      <c r="G763" s="523" t="s">
        <v>995</v>
      </c>
      <c r="H763" s="208"/>
      <c r="I763" s="405">
        <f>IF(I502=0,0,I704/I502)</f>
        <v>0</v>
      </c>
      <c r="J763" s="280">
        <v>1483</v>
      </c>
      <c r="K763" s="490"/>
      <c r="L763" s="115" t="str">
        <f>IF(I763&gt;=0,"OK","ERROR")</f>
        <v>OK</v>
      </c>
      <c r="N763" s="490"/>
      <c r="O763" s="532"/>
    </row>
    <row r="764" spans="1:16" ht="17.25" customHeight="1" thickTop="1" thickBot="1">
      <c r="A764" s="356" t="s">
        <v>1012</v>
      </c>
      <c r="B764" s="523" t="s">
        <v>1427</v>
      </c>
      <c r="C764" s="523" t="s">
        <v>996</v>
      </c>
      <c r="D764" s="523" t="s">
        <v>996</v>
      </c>
      <c r="E764" s="523" t="s">
        <v>996</v>
      </c>
      <c r="F764" s="523" t="s">
        <v>996</v>
      </c>
      <c r="G764" s="523" t="s">
        <v>996</v>
      </c>
      <c r="H764" s="208"/>
      <c r="I764" s="481" t="e">
        <f>IF(I1="PSIB_CASABISIRB","",IF(AND(I1="CSIB_CASABISIRB",I512=2),"",IF(AND(I1="CSIB_CASABISIRB",I512=1,I513="A"),"",IF(AND(I1="CSIB_CASABISIRB",I512=1,I513="B"),"",IF(AND(I1="CSIB_CASABISIRB",I512=1,I513="C",YEAR(I3)&gt;=2019,YEAR(I3)&lt;2022),6%+I551+I554+I555,IF(AND(I1="CSIB_CASABISIRB",I512=1,I513="C",YEAR(I3)&gt;=2022),6.75%+I551+I554+I555))))))</f>
        <v>#VALUE!</v>
      </c>
      <c r="J764" s="280">
        <v>1484</v>
      </c>
      <c r="K764" s="490"/>
      <c r="L764" s="115" t="e">
        <f>IF(OR(I764=0,I764=""),"",IF(AND(I764&gt;0,I764&lt;=I763),"OK","ERROR"))</f>
        <v>#VALUE!</v>
      </c>
      <c r="M764" s="228"/>
      <c r="N764" s="490"/>
    </row>
    <row r="765" spans="1:16" ht="60" customHeight="1" thickTop="1">
      <c r="A765" s="404" t="s">
        <v>1428</v>
      </c>
      <c r="B765" s="530" t="s">
        <v>1636</v>
      </c>
      <c r="C765" s="530"/>
      <c r="D765" s="530"/>
      <c r="E765" s="530"/>
      <c r="F765" s="530"/>
      <c r="G765" s="530"/>
      <c r="H765" s="208"/>
      <c r="I765" s="282"/>
      <c r="J765" s="280"/>
      <c r="K765" s="6"/>
      <c r="L765" s="490"/>
      <c r="N765" s="488"/>
      <c r="O765" s="366"/>
    </row>
    <row r="766" spans="1:16" ht="33" customHeight="1">
      <c r="A766" s="355" t="s">
        <v>1013</v>
      </c>
      <c r="B766" s="531" t="s">
        <v>931</v>
      </c>
      <c r="C766" s="531" t="s">
        <v>931</v>
      </c>
      <c r="D766" s="531" t="s">
        <v>931</v>
      </c>
      <c r="E766" s="531" t="s">
        <v>931</v>
      </c>
      <c r="F766" s="531" t="s">
        <v>931</v>
      </c>
      <c r="G766" s="531" t="s">
        <v>931</v>
      </c>
      <c r="H766" s="208"/>
      <c r="I766" s="282"/>
      <c r="J766" s="280"/>
      <c r="K766" s="6"/>
      <c r="L766" s="490"/>
      <c r="N766" s="488"/>
    </row>
    <row r="767" spans="1:16" ht="33" customHeight="1">
      <c r="A767" s="355" t="s">
        <v>1014</v>
      </c>
      <c r="B767" s="528" t="s">
        <v>1242</v>
      </c>
      <c r="C767" s="528"/>
      <c r="D767" s="528"/>
      <c r="E767" s="528"/>
      <c r="F767" s="528"/>
      <c r="G767" s="528"/>
      <c r="H767" s="208"/>
      <c r="I767" s="282"/>
      <c r="J767" s="280"/>
      <c r="K767" s="6"/>
      <c r="L767" s="490"/>
      <c r="N767" s="488"/>
      <c r="O767" s="257"/>
    </row>
    <row r="768" spans="1:16" ht="17.25" customHeight="1">
      <c r="A768" s="356" t="s">
        <v>1015</v>
      </c>
      <c r="B768" s="529" t="s">
        <v>932</v>
      </c>
      <c r="C768" s="529" t="s">
        <v>932</v>
      </c>
      <c r="D768" s="529" t="s">
        <v>932</v>
      </c>
      <c r="E768" s="529" t="s">
        <v>932</v>
      </c>
      <c r="F768" s="529" t="s">
        <v>932</v>
      </c>
      <c r="G768" s="529" t="s">
        <v>932</v>
      </c>
      <c r="H768" s="208"/>
      <c r="I768" s="397"/>
      <c r="J768" s="280">
        <v>1353</v>
      </c>
      <c r="K768" s="6"/>
      <c r="L768" s="115" t="str">
        <f>IF(I768&gt;=0,"OK","ERROR")</f>
        <v>OK</v>
      </c>
      <c r="N768" s="362"/>
      <c r="O768" s="490"/>
    </row>
    <row r="769" spans="1:21" ht="17.25" customHeight="1">
      <c r="A769" s="356" t="s">
        <v>1016</v>
      </c>
      <c r="B769" s="525" t="s">
        <v>933</v>
      </c>
      <c r="C769" s="525" t="s">
        <v>934</v>
      </c>
      <c r="D769" s="525" t="s">
        <v>934</v>
      </c>
      <c r="E769" s="525" t="s">
        <v>934</v>
      </c>
      <c r="F769" s="525" t="s">
        <v>934</v>
      </c>
      <c r="G769" s="525" t="s">
        <v>934</v>
      </c>
      <c r="H769" s="208"/>
      <c r="I769" s="397"/>
      <c r="J769" s="280">
        <v>1354</v>
      </c>
      <c r="K769" s="6"/>
      <c r="L769" s="115" t="str">
        <f t="shared" ref="L769:L782" si="32">IF(I769&gt;=0,"OK","ERROR")</f>
        <v>OK</v>
      </c>
      <c r="N769" s="488"/>
    </row>
    <row r="770" spans="1:21" ht="17.25" customHeight="1">
      <c r="A770" s="356" t="s">
        <v>1017</v>
      </c>
      <c r="B770" s="525" t="s">
        <v>935</v>
      </c>
      <c r="C770" s="525" t="s">
        <v>936</v>
      </c>
      <c r="D770" s="525" t="s">
        <v>936</v>
      </c>
      <c r="E770" s="525" t="s">
        <v>936</v>
      </c>
      <c r="F770" s="525" t="s">
        <v>936</v>
      </c>
      <c r="G770" s="525" t="s">
        <v>936</v>
      </c>
      <c r="H770" s="208"/>
      <c r="I770" s="397"/>
      <c r="J770" s="280">
        <v>1355</v>
      </c>
      <c r="K770" s="6"/>
      <c r="L770" s="115" t="str">
        <f t="shared" si="32"/>
        <v>OK</v>
      </c>
      <c r="N770" s="488"/>
    </row>
    <row r="771" spans="1:21" ht="17.25" customHeight="1">
      <c r="A771" s="356" t="s">
        <v>1018</v>
      </c>
      <c r="B771" s="525" t="s">
        <v>937</v>
      </c>
      <c r="C771" s="525" t="s">
        <v>936</v>
      </c>
      <c r="D771" s="525" t="s">
        <v>936</v>
      </c>
      <c r="E771" s="525" t="s">
        <v>936</v>
      </c>
      <c r="F771" s="525" t="s">
        <v>936</v>
      </c>
      <c r="G771" s="525" t="s">
        <v>936</v>
      </c>
      <c r="H771" s="208"/>
      <c r="I771" s="397"/>
      <c r="J771" s="280">
        <v>1356</v>
      </c>
      <c r="K771" s="6"/>
      <c r="L771" s="115" t="str">
        <f t="shared" si="32"/>
        <v>OK</v>
      </c>
      <c r="N771" s="488"/>
    </row>
    <row r="772" spans="1:21" ht="17.25" customHeight="1">
      <c r="A772" s="356" t="s">
        <v>1019</v>
      </c>
      <c r="B772" s="525" t="s">
        <v>938</v>
      </c>
      <c r="C772" s="525" t="s">
        <v>936</v>
      </c>
      <c r="D772" s="525" t="s">
        <v>936</v>
      </c>
      <c r="E772" s="525" t="s">
        <v>936</v>
      </c>
      <c r="F772" s="525" t="s">
        <v>936</v>
      </c>
      <c r="G772" s="525" t="s">
        <v>936</v>
      </c>
      <c r="H772" s="208"/>
      <c r="I772" s="397"/>
      <c r="J772" s="280">
        <v>1357</v>
      </c>
      <c r="K772" s="6"/>
      <c r="L772" s="115" t="str">
        <f t="shared" si="32"/>
        <v>OK</v>
      </c>
      <c r="N772" s="488"/>
    </row>
    <row r="773" spans="1:21" ht="17.25" customHeight="1">
      <c r="A773" s="356" t="s">
        <v>1146</v>
      </c>
      <c r="B773" s="525" t="s">
        <v>1029</v>
      </c>
      <c r="C773" s="525" t="s">
        <v>936</v>
      </c>
      <c r="D773" s="525" t="s">
        <v>936</v>
      </c>
      <c r="E773" s="525" t="s">
        <v>936</v>
      </c>
      <c r="F773" s="525" t="s">
        <v>936</v>
      </c>
      <c r="G773" s="525" t="s">
        <v>936</v>
      </c>
      <c r="H773" s="208"/>
      <c r="I773" s="397"/>
      <c r="J773" s="280">
        <v>1358</v>
      </c>
      <c r="K773" s="6"/>
      <c r="L773" s="115" t="str">
        <f t="shared" si="32"/>
        <v>OK</v>
      </c>
      <c r="N773" s="488"/>
    </row>
    <row r="774" spans="1:21" ht="17.25" customHeight="1">
      <c r="A774" s="356" t="s">
        <v>1020</v>
      </c>
      <c r="B774" s="525" t="s">
        <v>940</v>
      </c>
      <c r="C774" s="525" t="s">
        <v>940</v>
      </c>
      <c r="D774" s="525" t="s">
        <v>940</v>
      </c>
      <c r="E774" s="525" t="s">
        <v>940</v>
      </c>
      <c r="F774" s="525" t="s">
        <v>940</v>
      </c>
      <c r="G774" s="525" t="s">
        <v>940</v>
      </c>
      <c r="H774" s="208"/>
      <c r="I774" s="397"/>
      <c r="J774" s="280">
        <v>1359</v>
      </c>
      <c r="K774" s="6"/>
      <c r="L774" s="115" t="str">
        <f t="shared" si="32"/>
        <v>OK</v>
      </c>
      <c r="N774" s="488"/>
    </row>
    <row r="775" spans="1:21" ht="17.25" customHeight="1">
      <c r="A775" s="356" t="s">
        <v>1021</v>
      </c>
      <c r="B775" s="525" t="s">
        <v>941</v>
      </c>
      <c r="C775" s="525" t="s">
        <v>941</v>
      </c>
      <c r="D775" s="525" t="s">
        <v>941</v>
      </c>
      <c r="E775" s="525" t="s">
        <v>941</v>
      </c>
      <c r="F775" s="525" t="s">
        <v>941</v>
      </c>
      <c r="G775" s="525" t="s">
        <v>941</v>
      </c>
      <c r="H775" s="208"/>
      <c r="I775" s="397"/>
      <c r="J775" s="280">
        <v>1360</v>
      </c>
      <c r="K775" s="6"/>
      <c r="L775" s="115" t="str">
        <f t="shared" si="32"/>
        <v>OK</v>
      </c>
      <c r="N775" s="488"/>
    </row>
    <row r="776" spans="1:21" ht="17.25" customHeight="1">
      <c r="A776" s="356" t="s">
        <v>1022</v>
      </c>
      <c r="B776" s="525" t="s">
        <v>1425</v>
      </c>
      <c r="C776" s="525" t="s">
        <v>941</v>
      </c>
      <c r="D776" s="525" t="s">
        <v>941</v>
      </c>
      <c r="E776" s="525" t="s">
        <v>941</v>
      </c>
      <c r="F776" s="525" t="s">
        <v>941</v>
      </c>
      <c r="G776" s="525" t="s">
        <v>941</v>
      </c>
      <c r="H776" s="208"/>
      <c r="I776" s="397"/>
      <c r="J776" s="280">
        <v>1361</v>
      </c>
      <c r="K776" s="6"/>
      <c r="L776" s="115" t="str">
        <f t="shared" si="32"/>
        <v>OK</v>
      </c>
      <c r="N776" s="488"/>
    </row>
    <row r="777" spans="1:21" ht="17.25" customHeight="1">
      <c r="A777" s="356" t="s">
        <v>1023</v>
      </c>
      <c r="B777" s="525" t="s">
        <v>942</v>
      </c>
      <c r="C777" s="525" t="s">
        <v>942</v>
      </c>
      <c r="D777" s="525" t="s">
        <v>942</v>
      </c>
      <c r="E777" s="525" t="s">
        <v>942</v>
      </c>
      <c r="F777" s="525" t="s">
        <v>942</v>
      </c>
      <c r="G777" s="525" t="s">
        <v>942</v>
      </c>
      <c r="H777" s="208"/>
      <c r="I777" s="397"/>
      <c r="J777" s="280">
        <v>1362</v>
      </c>
      <c r="K777" s="6"/>
      <c r="L777" s="115" t="str">
        <f t="shared" si="32"/>
        <v>OK</v>
      </c>
      <c r="N777" s="488"/>
    </row>
    <row r="778" spans="1:21" ht="17.25" customHeight="1">
      <c r="A778" s="356" t="s">
        <v>1024</v>
      </c>
      <c r="B778" s="525" t="s">
        <v>943</v>
      </c>
      <c r="C778" s="525" t="s">
        <v>944</v>
      </c>
      <c r="D778" s="525" t="s">
        <v>944</v>
      </c>
      <c r="E778" s="525" t="s">
        <v>944</v>
      </c>
      <c r="F778" s="525" t="s">
        <v>944</v>
      </c>
      <c r="G778" s="525" t="s">
        <v>944</v>
      </c>
      <c r="H778" s="208"/>
      <c r="I778" s="397"/>
      <c r="J778" s="280">
        <v>1363</v>
      </c>
      <c r="K778" s="6"/>
      <c r="L778" s="115" t="str">
        <f t="shared" si="32"/>
        <v>OK</v>
      </c>
      <c r="N778" s="488"/>
    </row>
    <row r="779" spans="1:21" ht="17.25" customHeight="1">
      <c r="A779" s="356" t="s">
        <v>1025</v>
      </c>
      <c r="B779" s="525" t="s">
        <v>945</v>
      </c>
      <c r="C779" s="525" t="s">
        <v>944</v>
      </c>
      <c r="D779" s="525" t="s">
        <v>944</v>
      </c>
      <c r="E779" s="525" t="s">
        <v>944</v>
      </c>
      <c r="F779" s="525" t="s">
        <v>944</v>
      </c>
      <c r="G779" s="525" t="s">
        <v>944</v>
      </c>
      <c r="H779" s="208"/>
      <c r="I779" s="397"/>
      <c r="J779" s="280">
        <v>1364</v>
      </c>
      <c r="K779" s="6"/>
      <c r="L779" s="115" t="str">
        <f t="shared" si="32"/>
        <v>OK</v>
      </c>
      <c r="N779" s="490"/>
    </row>
    <row r="780" spans="1:21" ht="17.25" customHeight="1">
      <c r="A780" s="356" t="s">
        <v>1026</v>
      </c>
      <c r="B780" s="525" t="s">
        <v>946</v>
      </c>
      <c r="C780" s="525" t="s">
        <v>944</v>
      </c>
      <c r="D780" s="525" t="s">
        <v>944</v>
      </c>
      <c r="E780" s="525" t="s">
        <v>944</v>
      </c>
      <c r="F780" s="525" t="s">
        <v>944</v>
      </c>
      <c r="G780" s="525" t="s">
        <v>944</v>
      </c>
      <c r="H780" s="208"/>
      <c r="I780" s="397"/>
      <c r="J780" s="280">
        <v>1365</v>
      </c>
      <c r="K780" s="6"/>
      <c r="L780" s="115" t="str">
        <f t="shared" si="32"/>
        <v>OK</v>
      </c>
      <c r="N780" s="490"/>
    </row>
    <row r="781" spans="1:21" ht="17.25" customHeight="1" thickBot="1">
      <c r="A781" s="356" t="s">
        <v>1027</v>
      </c>
      <c r="B781" s="525" t="s">
        <v>961</v>
      </c>
      <c r="C781" s="525"/>
      <c r="D781" s="525"/>
      <c r="E781" s="525"/>
      <c r="F781" s="525"/>
      <c r="G781" s="525"/>
      <c r="H781" s="208"/>
      <c r="I781" s="405">
        <f>I768-I773</f>
        <v>0</v>
      </c>
      <c r="J781" s="280">
        <v>1366</v>
      </c>
      <c r="K781" s="6"/>
      <c r="L781" s="115" t="str">
        <f t="shared" si="32"/>
        <v>OK</v>
      </c>
      <c r="N781" s="490"/>
    </row>
    <row r="782" spans="1:21" ht="17.25" customHeight="1" thickTop="1" thickBot="1">
      <c r="A782" s="356" t="s">
        <v>1028</v>
      </c>
      <c r="B782" s="525" t="s">
        <v>962</v>
      </c>
      <c r="C782" s="525"/>
      <c r="D782" s="525"/>
      <c r="E782" s="525"/>
      <c r="F782" s="525"/>
      <c r="G782" s="525"/>
      <c r="H782" s="208"/>
      <c r="I782" s="405">
        <f>I776-I780</f>
        <v>0</v>
      </c>
      <c r="J782" s="280">
        <v>1367</v>
      </c>
      <c r="K782" s="6"/>
      <c r="L782" s="115" t="str">
        <f t="shared" si="32"/>
        <v>OK</v>
      </c>
      <c r="N782" s="490"/>
    </row>
    <row r="783" spans="1:21" s="490" customFormat="1" ht="6" customHeight="1" thickTop="1">
      <c r="A783" s="424"/>
      <c r="B783" s="526"/>
      <c r="C783" s="526"/>
      <c r="D783" s="526"/>
      <c r="E783" s="526"/>
      <c r="F783" s="526"/>
      <c r="G783" s="526"/>
      <c r="H783" s="8"/>
      <c r="I783" s="277"/>
      <c r="J783" s="496"/>
      <c r="K783" s="6"/>
      <c r="L783" s="285"/>
      <c r="N783" s="460"/>
      <c r="O783" s="460"/>
      <c r="P783" s="460"/>
      <c r="Q783" s="460"/>
      <c r="R783" s="460"/>
      <c r="S783" s="460"/>
      <c r="T783" s="460"/>
      <c r="U783" s="460"/>
    </row>
    <row r="784" spans="1:21" ht="6" customHeight="1">
      <c r="A784" s="260"/>
      <c r="B784" s="527"/>
      <c r="C784" s="527"/>
      <c r="D784" s="527"/>
      <c r="E784" s="527"/>
      <c r="F784" s="527"/>
      <c r="G784" s="527"/>
      <c r="H784" s="134"/>
      <c r="I784" s="135"/>
      <c r="J784" s="494"/>
      <c r="K784" s="5"/>
      <c r="L784" s="285"/>
    </row>
    <row r="785" spans="1:20" ht="33" customHeight="1">
      <c r="A785" s="355" t="s">
        <v>964</v>
      </c>
      <c r="B785" s="528" t="s">
        <v>1243</v>
      </c>
      <c r="C785" s="528"/>
      <c r="D785" s="528"/>
      <c r="E785" s="528"/>
      <c r="F785" s="528"/>
      <c r="G785" s="528"/>
      <c r="H785" s="208"/>
      <c r="I785" s="311"/>
      <c r="J785" s="280"/>
      <c r="K785" s="6"/>
      <c r="L785" s="490"/>
      <c r="N785" s="488"/>
    </row>
    <row r="786" spans="1:20" ht="17.25" customHeight="1">
      <c r="A786" s="356" t="s">
        <v>965</v>
      </c>
      <c r="B786" s="529" t="s">
        <v>981</v>
      </c>
      <c r="C786" s="529" t="s">
        <v>982</v>
      </c>
      <c r="D786" s="529" t="s">
        <v>982</v>
      </c>
      <c r="E786" s="529" t="s">
        <v>982</v>
      </c>
      <c r="F786" s="529" t="s">
        <v>982</v>
      </c>
      <c r="G786" s="529" t="s">
        <v>982</v>
      </c>
      <c r="H786" s="208"/>
      <c r="I786" s="397"/>
      <c r="J786" s="280">
        <v>1368</v>
      </c>
      <c r="K786" s="6"/>
      <c r="L786" s="115" t="str">
        <f t="shared" ref="L786:L794" si="33">IF(I786&gt;=0,"OK","ERROR")</f>
        <v>OK</v>
      </c>
      <c r="N786" s="488"/>
    </row>
    <row r="787" spans="1:20" ht="17.25" customHeight="1">
      <c r="A787" s="356" t="s">
        <v>966</v>
      </c>
      <c r="B787" s="525" t="s">
        <v>983</v>
      </c>
      <c r="C787" s="525" t="s">
        <v>982</v>
      </c>
      <c r="D787" s="525" t="s">
        <v>982</v>
      </c>
      <c r="E787" s="525" t="s">
        <v>982</v>
      </c>
      <c r="F787" s="525" t="s">
        <v>982</v>
      </c>
      <c r="G787" s="525" t="s">
        <v>982</v>
      </c>
      <c r="H787" s="208"/>
      <c r="I787" s="397"/>
      <c r="J787" s="280">
        <v>1369</v>
      </c>
      <c r="K787" s="6"/>
      <c r="L787" s="115" t="str">
        <f t="shared" si="33"/>
        <v>OK</v>
      </c>
      <c r="N787" s="488"/>
    </row>
    <row r="788" spans="1:20" ht="17.25" customHeight="1">
      <c r="A788" s="356" t="s">
        <v>967</v>
      </c>
      <c r="B788" s="525" t="s">
        <v>984</v>
      </c>
      <c r="C788" s="525" t="s">
        <v>982</v>
      </c>
      <c r="D788" s="525" t="s">
        <v>982</v>
      </c>
      <c r="E788" s="525" t="s">
        <v>982</v>
      </c>
      <c r="F788" s="525" t="s">
        <v>982</v>
      </c>
      <c r="G788" s="525" t="s">
        <v>982</v>
      </c>
      <c r="H788" s="208"/>
      <c r="I788" s="397"/>
      <c r="J788" s="280">
        <v>1370</v>
      </c>
      <c r="K788" s="6"/>
      <c r="L788" s="115" t="str">
        <f t="shared" si="33"/>
        <v>OK</v>
      </c>
      <c r="N788" s="488"/>
    </row>
    <row r="789" spans="1:20" ht="17.25" customHeight="1">
      <c r="A789" s="356" t="s">
        <v>1147</v>
      </c>
      <c r="B789" s="525" t="s">
        <v>985</v>
      </c>
      <c r="C789" s="525" t="s">
        <v>982</v>
      </c>
      <c r="D789" s="525" t="s">
        <v>982</v>
      </c>
      <c r="E789" s="525" t="s">
        <v>982</v>
      </c>
      <c r="F789" s="525" t="s">
        <v>982</v>
      </c>
      <c r="G789" s="525" t="s">
        <v>982</v>
      </c>
      <c r="H789" s="208"/>
      <c r="I789" s="397"/>
      <c r="J789" s="280">
        <v>1371</v>
      </c>
      <c r="K789" s="6"/>
      <c r="L789" s="115" t="str">
        <f t="shared" si="33"/>
        <v>OK</v>
      </c>
      <c r="N789" s="488"/>
    </row>
    <row r="790" spans="1:20" ht="17.25" customHeight="1">
      <c r="A790" s="356" t="s">
        <v>968</v>
      </c>
      <c r="B790" s="525" t="s">
        <v>986</v>
      </c>
      <c r="C790" s="525" t="s">
        <v>987</v>
      </c>
      <c r="D790" s="525" t="s">
        <v>987</v>
      </c>
      <c r="E790" s="525" t="s">
        <v>987</v>
      </c>
      <c r="F790" s="525" t="s">
        <v>987</v>
      </c>
      <c r="G790" s="525" t="s">
        <v>987</v>
      </c>
      <c r="H790" s="208"/>
      <c r="I790" s="397"/>
      <c r="J790" s="280">
        <v>1372</v>
      </c>
      <c r="K790" s="6"/>
      <c r="L790" s="115" t="str">
        <f t="shared" si="33"/>
        <v>OK</v>
      </c>
      <c r="N790" s="488"/>
    </row>
    <row r="791" spans="1:20" ht="17.25" customHeight="1">
      <c r="A791" s="356" t="s">
        <v>969</v>
      </c>
      <c r="B791" s="525" t="s">
        <v>988</v>
      </c>
      <c r="C791" s="525" t="s">
        <v>988</v>
      </c>
      <c r="D791" s="525" t="s">
        <v>988</v>
      </c>
      <c r="E791" s="525" t="s">
        <v>988</v>
      </c>
      <c r="F791" s="525" t="s">
        <v>988</v>
      </c>
      <c r="G791" s="525" t="s">
        <v>988</v>
      </c>
      <c r="H791" s="208"/>
      <c r="I791" s="397"/>
      <c r="J791" s="280">
        <v>1373</v>
      </c>
      <c r="K791" s="6"/>
      <c r="L791" s="115" t="str">
        <f t="shared" si="33"/>
        <v>OK</v>
      </c>
      <c r="N791" s="488"/>
    </row>
    <row r="792" spans="1:20" ht="17.25" customHeight="1">
      <c r="A792" s="356" t="s">
        <v>970</v>
      </c>
      <c r="B792" s="525" t="s">
        <v>989</v>
      </c>
      <c r="C792" s="525" t="s">
        <v>989</v>
      </c>
      <c r="D792" s="525" t="s">
        <v>989</v>
      </c>
      <c r="E792" s="525" t="s">
        <v>989</v>
      </c>
      <c r="F792" s="525" t="s">
        <v>989</v>
      </c>
      <c r="G792" s="525" t="s">
        <v>989</v>
      </c>
      <c r="H792" s="208"/>
      <c r="I792" s="397"/>
      <c r="J792" s="280">
        <v>1374</v>
      </c>
      <c r="K792" s="6"/>
      <c r="L792" s="115" t="str">
        <f t="shared" si="33"/>
        <v>OK</v>
      </c>
      <c r="N792" s="488"/>
    </row>
    <row r="793" spans="1:20" ht="17.25" customHeight="1">
      <c r="A793" s="356" t="s">
        <v>971</v>
      </c>
      <c r="B793" s="525" t="s">
        <v>961</v>
      </c>
      <c r="C793" s="525"/>
      <c r="D793" s="525"/>
      <c r="E793" s="525"/>
      <c r="F793" s="525"/>
      <c r="G793" s="525"/>
      <c r="H793" s="208"/>
      <c r="I793" s="397"/>
      <c r="J793" s="280">
        <v>1375</v>
      </c>
      <c r="K793" s="6"/>
      <c r="L793" s="115" t="str">
        <f t="shared" si="33"/>
        <v>OK</v>
      </c>
      <c r="N793" s="488"/>
    </row>
    <row r="794" spans="1:20" ht="17.25" customHeight="1">
      <c r="A794" s="356" t="s">
        <v>972</v>
      </c>
      <c r="B794" s="525" t="s">
        <v>962</v>
      </c>
      <c r="C794" s="525"/>
      <c r="D794" s="525"/>
      <c r="E794" s="525"/>
      <c r="F794" s="525"/>
      <c r="G794" s="525"/>
      <c r="H794" s="208"/>
      <c r="I794" s="397"/>
      <c r="J794" s="280">
        <v>1376</v>
      </c>
      <c r="K794" s="6"/>
      <c r="L794" s="115" t="str">
        <f t="shared" si="33"/>
        <v>OK</v>
      </c>
      <c r="N794" s="488"/>
    </row>
    <row r="795" spans="1:20" ht="33" customHeight="1">
      <c r="A795" s="355" t="s">
        <v>595</v>
      </c>
      <c r="B795" s="521" t="s">
        <v>1244</v>
      </c>
      <c r="C795" s="521"/>
      <c r="D795" s="521"/>
      <c r="E795" s="521"/>
      <c r="F795" s="521"/>
      <c r="G795" s="521"/>
      <c r="H795" s="208"/>
      <c r="I795" s="311"/>
      <c r="J795" s="280"/>
      <c r="K795" s="6"/>
      <c r="L795" s="490"/>
      <c r="N795" s="488"/>
    </row>
    <row r="796" spans="1:20" ht="17.25" customHeight="1">
      <c r="A796" s="356" t="s">
        <v>973</v>
      </c>
      <c r="B796" s="522" t="s">
        <v>1637</v>
      </c>
      <c r="C796" s="522" t="s">
        <v>990</v>
      </c>
      <c r="D796" s="522" t="s">
        <v>990</v>
      </c>
      <c r="E796" s="522" t="s">
        <v>990</v>
      </c>
      <c r="F796" s="522" t="s">
        <v>990</v>
      </c>
      <c r="G796" s="522" t="s">
        <v>990</v>
      </c>
      <c r="H796" s="208"/>
      <c r="I796" s="397"/>
      <c r="J796" s="280">
        <v>1377</v>
      </c>
      <c r="K796" s="6"/>
      <c r="L796" s="115" t="str">
        <f>IF(I796&gt;=0,"OK","ERROR")</f>
        <v>OK</v>
      </c>
      <c r="N796" s="490"/>
      <c r="O796" s="490"/>
      <c r="P796" s="490"/>
      <c r="Q796" s="490"/>
      <c r="R796" s="490"/>
      <c r="S796" s="490"/>
      <c r="T796" s="490"/>
    </row>
    <row r="797" spans="1:20" ht="17.25" customHeight="1">
      <c r="A797" s="356" t="s">
        <v>974</v>
      </c>
      <c r="B797" s="523" t="s">
        <v>1732</v>
      </c>
      <c r="C797" s="523" t="s">
        <v>991</v>
      </c>
      <c r="D797" s="523" t="s">
        <v>991</v>
      </c>
      <c r="E797" s="523" t="s">
        <v>991</v>
      </c>
      <c r="F797" s="523" t="s">
        <v>991</v>
      </c>
      <c r="G797" s="523" t="s">
        <v>991</v>
      </c>
      <c r="H797" s="208"/>
      <c r="I797" s="397"/>
      <c r="J797" s="280">
        <v>1378</v>
      </c>
      <c r="K797" s="6"/>
      <c r="L797" s="115" t="str">
        <f>IF(I797&gt;=0,"OK","ERROR")</f>
        <v>OK</v>
      </c>
      <c r="N797" s="490"/>
      <c r="O797" s="490"/>
      <c r="P797" s="490"/>
      <c r="Q797" s="490"/>
      <c r="R797" s="490"/>
      <c r="S797" s="490"/>
      <c r="T797" s="490"/>
    </row>
    <row r="798" spans="1:20" ht="17.25" customHeight="1">
      <c r="A798" s="356" t="s">
        <v>1733</v>
      </c>
      <c r="B798" s="523" t="s">
        <v>1730</v>
      </c>
      <c r="C798" s="523"/>
      <c r="D798" s="523"/>
      <c r="E798" s="523"/>
      <c r="F798" s="523"/>
      <c r="G798" s="523"/>
      <c r="H798" s="208"/>
      <c r="I798" s="397"/>
      <c r="J798" s="280">
        <v>1521</v>
      </c>
      <c r="K798" s="6"/>
      <c r="L798" s="115" t="str">
        <f>IF(I798&gt;=0,"OK","ERROR")</f>
        <v>OK</v>
      </c>
      <c r="M798" s="464"/>
      <c r="N798" s="464"/>
      <c r="O798" s="490"/>
      <c r="P798" s="490"/>
      <c r="Q798" s="490"/>
      <c r="R798" s="490"/>
      <c r="S798" s="490"/>
      <c r="T798" s="490"/>
    </row>
    <row r="799" spans="1:20" ht="17.25" customHeight="1">
      <c r="A799" s="356" t="s">
        <v>1734</v>
      </c>
      <c r="B799" s="523" t="s">
        <v>1359</v>
      </c>
      <c r="C799" s="523"/>
      <c r="D799" s="523"/>
      <c r="E799" s="523"/>
      <c r="F799" s="523"/>
      <c r="G799" s="523"/>
      <c r="H799" s="208"/>
      <c r="I799" s="397"/>
      <c r="J799" s="280">
        <v>1522</v>
      </c>
      <c r="K799" s="6"/>
      <c r="L799" s="115" t="str">
        <f>IF(I799&lt;=0,"OK","ERROR")</f>
        <v>OK</v>
      </c>
      <c r="M799" s="464"/>
      <c r="N799" s="464"/>
      <c r="O799" s="490"/>
      <c r="P799" s="490"/>
      <c r="Q799" s="490"/>
      <c r="R799" s="490"/>
      <c r="S799" s="490"/>
      <c r="T799" s="490"/>
    </row>
    <row r="800" spans="1:20" ht="17.25" customHeight="1" thickBot="1">
      <c r="A800" s="356" t="s">
        <v>1735</v>
      </c>
      <c r="B800" s="523" t="s">
        <v>1736</v>
      </c>
      <c r="C800" s="523" t="s">
        <v>991</v>
      </c>
      <c r="D800" s="523" t="s">
        <v>991</v>
      </c>
      <c r="E800" s="523" t="s">
        <v>991</v>
      </c>
      <c r="F800" s="523" t="s">
        <v>991</v>
      </c>
      <c r="G800" s="523" t="s">
        <v>991</v>
      </c>
      <c r="H800" s="208"/>
      <c r="I800" s="481">
        <f>I797+I798+I799</f>
        <v>0</v>
      </c>
      <c r="J800" s="280">
        <v>1523</v>
      </c>
      <c r="K800" s="6"/>
      <c r="L800" s="115" t="str">
        <f t="shared" ref="L800:L802" si="34">IF(I800&gt;=0,"OK","ERROR")</f>
        <v>OK</v>
      </c>
      <c r="M800" s="464"/>
      <c r="N800" s="464"/>
      <c r="O800" s="490"/>
      <c r="P800" s="490"/>
      <c r="Q800" s="490"/>
      <c r="R800" s="490"/>
      <c r="S800" s="490"/>
      <c r="T800" s="490"/>
    </row>
    <row r="801" spans="1:20" ht="17.25" customHeight="1" thickTop="1">
      <c r="A801" s="356" t="s">
        <v>1737</v>
      </c>
      <c r="B801" s="523" t="s">
        <v>1738</v>
      </c>
      <c r="C801" s="523"/>
      <c r="D801" s="523"/>
      <c r="E801" s="523"/>
      <c r="F801" s="523"/>
      <c r="G801" s="523"/>
      <c r="H801" s="208"/>
      <c r="I801" s="397"/>
      <c r="J801" s="280">
        <v>1524</v>
      </c>
      <c r="K801" s="6"/>
      <c r="L801" s="115" t="str">
        <f t="shared" si="34"/>
        <v>OK</v>
      </c>
      <c r="M801" s="215"/>
      <c r="N801" s="464"/>
      <c r="O801" s="490"/>
      <c r="P801" s="490"/>
      <c r="Q801" s="490"/>
      <c r="R801" s="490"/>
      <c r="S801" s="490"/>
      <c r="T801" s="490"/>
    </row>
    <row r="802" spans="1:20" ht="17.25" customHeight="1">
      <c r="A802" s="356" t="s">
        <v>1739</v>
      </c>
      <c r="B802" s="523" t="s">
        <v>1740</v>
      </c>
      <c r="C802" s="523"/>
      <c r="D802" s="523"/>
      <c r="E802" s="523"/>
      <c r="F802" s="523"/>
      <c r="G802" s="523"/>
      <c r="H802" s="208"/>
      <c r="I802" s="397"/>
      <c r="J802" s="280">
        <v>1525</v>
      </c>
      <c r="K802" s="6"/>
      <c r="L802" s="115" t="str">
        <f t="shared" si="34"/>
        <v>OK</v>
      </c>
      <c r="M802" s="215"/>
      <c r="N802" s="464"/>
      <c r="O802" s="490"/>
      <c r="P802" s="490"/>
      <c r="Q802" s="490"/>
      <c r="R802" s="490"/>
      <c r="S802" s="490"/>
      <c r="T802" s="490"/>
    </row>
    <row r="803" spans="1:20" ht="17.25" customHeight="1">
      <c r="A803" s="356" t="s">
        <v>975</v>
      </c>
      <c r="B803" s="523" t="s">
        <v>1638</v>
      </c>
      <c r="C803" s="523" t="s">
        <v>992</v>
      </c>
      <c r="D803" s="523" t="s">
        <v>992</v>
      </c>
      <c r="E803" s="523" t="s">
        <v>992</v>
      </c>
      <c r="F803" s="523" t="s">
        <v>992</v>
      </c>
      <c r="G803" s="523" t="s">
        <v>992</v>
      </c>
      <c r="H803" s="208"/>
      <c r="I803" s="397"/>
      <c r="J803" s="280">
        <v>1379</v>
      </c>
      <c r="K803" s="6"/>
      <c r="L803" s="115" t="str">
        <f>IF(I803&gt;=0,"OK","ERROR")</f>
        <v>OK</v>
      </c>
      <c r="M803" s="464"/>
      <c r="N803" s="464"/>
      <c r="O803" s="490"/>
      <c r="P803" s="490"/>
      <c r="Q803" s="490"/>
      <c r="R803" s="490"/>
      <c r="S803" s="490"/>
      <c r="T803" s="490"/>
    </row>
    <row r="804" spans="1:20" ht="17.25" customHeight="1">
      <c r="A804" s="356" t="s">
        <v>976</v>
      </c>
      <c r="B804" s="523" t="s">
        <v>1741</v>
      </c>
      <c r="C804" s="523" t="s">
        <v>986</v>
      </c>
      <c r="D804" s="523" t="s">
        <v>986</v>
      </c>
      <c r="E804" s="523" t="s">
        <v>986</v>
      </c>
      <c r="F804" s="523" t="s">
        <v>986</v>
      </c>
      <c r="G804" s="523" t="s">
        <v>986</v>
      </c>
      <c r="H804" s="208"/>
      <c r="I804" s="397"/>
      <c r="J804" s="280">
        <v>1380</v>
      </c>
      <c r="K804" s="6"/>
      <c r="L804" s="115" t="str">
        <f>IF(I804&gt;=0,"OK","ERROR")</f>
        <v>OK</v>
      </c>
      <c r="M804" s="464"/>
      <c r="N804" s="464"/>
      <c r="O804" s="490"/>
      <c r="P804" s="490"/>
      <c r="Q804" s="490"/>
      <c r="R804" s="490"/>
      <c r="S804" s="490"/>
      <c r="T804" s="490"/>
    </row>
    <row r="805" spans="1:20" ht="17.25" customHeight="1">
      <c r="A805" s="356" t="s">
        <v>1742</v>
      </c>
      <c r="B805" s="525" t="s">
        <v>1730</v>
      </c>
      <c r="C805" s="525"/>
      <c r="D805" s="525"/>
      <c r="E805" s="525"/>
      <c r="F805" s="525"/>
      <c r="G805" s="525"/>
      <c r="H805" s="181"/>
      <c r="I805" s="397"/>
      <c r="J805" s="280">
        <v>1526</v>
      </c>
      <c r="K805" s="6"/>
      <c r="L805" s="115" t="str">
        <f>IF(I805&gt;=0,"OK","ERROR")</f>
        <v>OK</v>
      </c>
      <c r="M805" s="464"/>
      <c r="N805" s="464"/>
      <c r="O805" s="490"/>
      <c r="P805" s="490"/>
      <c r="Q805" s="490"/>
      <c r="R805" s="490"/>
      <c r="S805" s="490"/>
      <c r="T805" s="490"/>
    </row>
    <row r="806" spans="1:20" ht="17.25" customHeight="1">
      <c r="A806" s="356" t="s">
        <v>1743</v>
      </c>
      <c r="B806" s="525" t="s">
        <v>1359</v>
      </c>
      <c r="C806" s="525"/>
      <c r="D806" s="525"/>
      <c r="E806" s="525"/>
      <c r="F806" s="525"/>
      <c r="G806" s="525"/>
      <c r="H806" s="181"/>
      <c r="I806" s="397"/>
      <c r="J806" s="280">
        <v>1527</v>
      </c>
      <c r="K806" s="6"/>
      <c r="L806" s="115" t="str">
        <f>IF(I806&lt;=0,"OK","ERROR")</f>
        <v>OK</v>
      </c>
      <c r="M806" s="464"/>
      <c r="N806" s="464"/>
      <c r="O806" s="490"/>
      <c r="P806" s="490"/>
      <c r="Q806" s="490"/>
      <c r="R806" s="490"/>
      <c r="S806" s="490"/>
      <c r="T806" s="490"/>
    </row>
    <row r="807" spans="1:20" ht="17.25" customHeight="1" thickBot="1">
      <c r="A807" s="356" t="s">
        <v>1744</v>
      </c>
      <c r="B807" s="523" t="s">
        <v>1745</v>
      </c>
      <c r="C807" s="523" t="s">
        <v>986</v>
      </c>
      <c r="D807" s="523" t="s">
        <v>986</v>
      </c>
      <c r="E807" s="523" t="s">
        <v>986</v>
      </c>
      <c r="F807" s="523" t="s">
        <v>986</v>
      </c>
      <c r="G807" s="523" t="s">
        <v>986</v>
      </c>
      <c r="H807" s="181"/>
      <c r="I807" s="405">
        <f>I804+I805+I806</f>
        <v>0</v>
      </c>
      <c r="J807" s="280">
        <v>1528</v>
      </c>
      <c r="K807" s="6"/>
      <c r="L807" s="115" t="str">
        <f t="shared" ref="L807:L811" si="35">IF(I807&gt;=0,"OK","ERROR")</f>
        <v>OK</v>
      </c>
      <c r="M807" s="464"/>
      <c r="N807" s="464"/>
      <c r="O807" s="490"/>
      <c r="P807" s="490"/>
      <c r="Q807" s="490"/>
      <c r="R807" s="490"/>
      <c r="S807" s="490"/>
      <c r="T807" s="490"/>
    </row>
    <row r="808" spans="1:20" ht="17.25" customHeight="1" thickTop="1">
      <c r="A808" s="356" t="s">
        <v>1746</v>
      </c>
      <c r="B808" s="525" t="s">
        <v>1738</v>
      </c>
      <c r="C808" s="525"/>
      <c r="D808" s="525"/>
      <c r="E808" s="525"/>
      <c r="F808" s="525"/>
      <c r="G808" s="525"/>
      <c r="H808" s="181"/>
      <c r="I808" s="397"/>
      <c r="J808" s="280">
        <v>1529</v>
      </c>
      <c r="K808" s="6"/>
      <c r="L808" s="115" t="str">
        <f t="shared" si="35"/>
        <v>OK</v>
      </c>
      <c r="M808" s="215"/>
      <c r="N808" s="464"/>
      <c r="O808" s="490"/>
      <c r="P808" s="490"/>
      <c r="Q808" s="490"/>
      <c r="R808" s="490"/>
      <c r="S808" s="490"/>
      <c r="T808" s="490"/>
    </row>
    <row r="809" spans="1:20" ht="17.25" customHeight="1">
      <c r="A809" s="356" t="s">
        <v>1747</v>
      </c>
      <c r="B809" s="525" t="s">
        <v>1740</v>
      </c>
      <c r="C809" s="525"/>
      <c r="D809" s="525"/>
      <c r="E809" s="525"/>
      <c r="F809" s="525"/>
      <c r="G809" s="525"/>
      <c r="H809" s="181"/>
      <c r="I809" s="397"/>
      <c r="J809" s="280">
        <v>1530</v>
      </c>
      <c r="K809" s="6"/>
      <c r="L809" s="115" t="str">
        <f t="shared" si="35"/>
        <v>OK</v>
      </c>
      <c r="M809" s="215"/>
      <c r="N809" s="464"/>
      <c r="O809" s="490"/>
      <c r="P809" s="490"/>
      <c r="Q809" s="490"/>
      <c r="R809" s="490"/>
      <c r="S809" s="490"/>
      <c r="T809" s="490"/>
    </row>
    <row r="810" spans="1:20" ht="17.25" customHeight="1">
      <c r="A810" s="356" t="s">
        <v>1639</v>
      </c>
      <c r="B810" s="523" t="s">
        <v>1633</v>
      </c>
      <c r="C810" s="523"/>
      <c r="D810" s="523"/>
      <c r="E810" s="523"/>
      <c r="F810" s="523"/>
      <c r="G810" s="523"/>
      <c r="H810" s="208"/>
      <c r="I810" s="470"/>
      <c r="J810" s="280">
        <v>1485</v>
      </c>
      <c r="K810" s="6"/>
      <c r="L810" s="115" t="str">
        <f t="shared" si="35"/>
        <v>OK</v>
      </c>
      <c r="M810" s="464"/>
      <c r="N810" s="464"/>
      <c r="O810" s="490"/>
      <c r="P810" s="461"/>
      <c r="Q810" s="490"/>
      <c r="R810" s="490"/>
      <c r="S810" s="490"/>
      <c r="T810" s="490"/>
    </row>
    <row r="811" spans="1:20" ht="17.25" customHeight="1">
      <c r="A811" s="356" t="s">
        <v>1640</v>
      </c>
      <c r="B811" s="523" t="s">
        <v>1751</v>
      </c>
      <c r="C811" s="523"/>
      <c r="D811" s="523"/>
      <c r="E811" s="523"/>
      <c r="F811" s="523"/>
      <c r="G811" s="523"/>
      <c r="H811" s="208"/>
      <c r="I811" s="14"/>
      <c r="J811" s="280">
        <v>1486</v>
      </c>
      <c r="K811" s="214"/>
      <c r="L811" s="115" t="str">
        <f t="shared" si="35"/>
        <v>OK</v>
      </c>
      <c r="M811" s="464"/>
      <c r="N811" s="391"/>
      <c r="P811" s="461"/>
    </row>
    <row r="812" spans="1:20" ht="33" customHeight="1">
      <c r="A812" s="355" t="s">
        <v>596</v>
      </c>
      <c r="B812" s="521" t="s">
        <v>1731</v>
      </c>
      <c r="C812" s="521"/>
      <c r="D812" s="521"/>
      <c r="E812" s="521"/>
      <c r="F812" s="521"/>
      <c r="G812" s="521"/>
      <c r="H812" s="208"/>
      <c r="I812" s="311"/>
      <c r="J812" s="280"/>
      <c r="K812" s="6"/>
      <c r="L812" s="490"/>
      <c r="N812" s="490"/>
      <c r="O812" s="490"/>
      <c r="P812" s="490"/>
      <c r="Q812" s="490"/>
      <c r="R812" s="490"/>
      <c r="S812" s="490"/>
      <c r="T812" s="490"/>
    </row>
    <row r="813" spans="1:20" ht="17.25" customHeight="1">
      <c r="A813" s="356" t="s">
        <v>977</v>
      </c>
      <c r="B813" s="522" t="s">
        <v>993</v>
      </c>
      <c r="C813" s="522" t="s">
        <v>993</v>
      </c>
      <c r="D813" s="522" t="s">
        <v>993</v>
      </c>
      <c r="E813" s="522" t="s">
        <v>993</v>
      </c>
      <c r="F813" s="522" t="s">
        <v>993</v>
      </c>
      <c r="G813" s="522" t="s">
        <v>993</v>
      </c>
      <c r="H813" s="208"/>
      <c r="I813" s="397"/>
      <c r="J813" s="280">
        <v>1381</v>
      </c>
      <c r="K813" s="6"/>
      <c r="L813" s="115" t="str">
        <f>IF(I813&gt;=0,"OK","ERROR")</f>
        <v>OK</v>
      </c>
      <c r="N813" s="490"/>
      <c r="O813" s="490"/>
      <c r="P813" s="490"/>
      <c r="Q813" s="490"/>
      <c r="R813" s="490"/>
      <c r="S813" s="490"/>
      <c r="T813" s="490"/>
    </row>
    <row r="814" spans="1:20" ht="17.25" customHeight="1">
      <c r="A814" s="356" t="s">
        <v>978</v>
      </c>
      <c r="B814" s="523" t="s">
        <v>1748</v>
      </c>
      <c r="C814" s="523" t="s">
        <v>994</v>
      </c>
      <c r="D814" s="523" t="s">
        <v>994</v>
      </c>
      <c r="E814" s="523" t="s">
        <v>994</v>
      </c>
      <c r="F814" s="523" t="s">
        <v>994</v>
      </c>
      <c r="G814" s="523" t="s">
        <v>994</v>
      </c>
      <c r="H814" s="208"/>
      <c r="I814" s="397"/>
      <c r="J814" s="280">
        <v>1382</v>
      </c>
      <c r="K814" s="6"/>
      <c r="L814" s="115" t="str">
        <f>IF(I814&gt;=0,"OK","ERROR")</f>
        <v>OK</v>
      </c>
      <c r="N814" s="490"/>
      <c r="O814" s="490"/>
      <c r="P814" s="490"/>
      <c r="Q814" s="490"/>
      <c r="R814" s="490"/>
      <c r="S814" s="490"/>
      <c r="T814" s="490"/>
    </row>
    <row r="815" spans="1:20" ht="17.25" customHeight="1">
      <c r="A815" s="356" t="s">
        <v>979</v>
      </c>
      <c r="B815" s="523" t="s">
        <v>1635</v>
      </c>
      <c r="C815" s="523" t="s">
        <v>995</v>
      </c>
      <c r="D815" s="523" t="s">
        <v>995</v>
      </c>
      <c r="E815" s="523" t="s">
        <v>995</v>
      </c>
      <c r="F815" s="523" t="s">
        <v>995</v>
      </c>
      <c r="G815" s="523" t="s">
        <v>995</v>
      </c>
      <c r="H815" s="208"/>
      <c r="I815" s="397"/>
      <c r="J815" s="280">
        <v>1383</v>
      </c>
      <c r="K815" s="6"/>
      <c r="L815" s="115" t="str">
        <f>IF(I815&gt;=0,"OK","ERROR")</f>
        <v>OK</v>
      </c>
      <c r="N815" s="490"/>
      <c r="O815" s="490"/>
      <c r="P815" s="490"/>
      <c r="Q815" s="490"/>
      <c r="R815" s="490"/>
      <c r="S815" s="490"/>
      <c r="T815" s="490"/>
    </row>
    <row r="816" spans="1:20" ht="17.25" customHeight="1">
      <c r="A816" s="356" t="s">
        <v>980</v>
      </c>
      <c r="B816" s="523" t="s">
        <v>1749</v>
      </c>
      <c r="C816" s="523" t="s">
        <v>996</v>
      </c>
      <c r="D816" s="523" t="s">
        <v>996</v>
      </c>
      <c r="E816" s="523" t="s">
        <v>996</v>
      </c>
      <c r="F816" s="523" t="s">
        <v>996</v>
      </c>
      <c r="G816" s="523" t="s">
        <v>996</v>
      </c>
      <c r="H816" s="208"/>
      <c r="I816" s="397"/>
      <c r="J816" s="280">
        <v>1384</v>
      </c>
      <c r="K816" s="6"/>
      <c r="L816" s="115" t="str">
        <f>IF(I816&gt;=0,"OK","ERROR")</f>
        <v>OK</v>
      </c>
      <c r="N816" s="490"/>
      <c r="O816" s="490"/>
      <c r="P816" s="490"/>
      <c r="Q816" s="490"/>
      <c r="R816" s="490"/>
      <c r="S816" s="490"/>
      <c r="T816" s="490"/>
    </row>
    <row r="817" spans="1:21" ht="33" customHeight="1">
      <c r="A817" s="430" t="s">
        <v>300</v>
      </c>
      <c r="B817" s="524" t="s">
        <v>301</v>
      </c>
      <c r="C817" s="524"/>
      <c r="D817" s="524"/>
      <c r="E817" s="524"/>
      <c r="F817" s="524"/>
      <c r="G817" s="524"/>
      <c r="H817" s="134"/>
      <c r="I817" s="335"/>
      <c r="J817" s="280"/>
      <c r="K817" s="5"/>
      <c r="L817" s="285"/>
      <c r="N817" s="490"/>
      <c r="O817" s="490"/>
      <c r="P817" s="490"/>
      <c r="Q817" s="490"/>
      <c r="R817" s="490"/>
      <c r="S817" s="490"/>
      <c r="T817" s="490"/>
    </row>
    <row r="818" spans="1:21" ht="33" customHeight="1">
      <c r="A818" s="426" t="s">
        <v>415</v>
      </c>
      <c r="B818" s="514" t="s">
        <v>310</v>
      </c>
      <c r="C818" s="514"/>
      <c r="D818" s="514"/>
      <c r="E818" s="514"/>
      <c r="F818" s="514"/>
      <c r="G818" s="514"/>
      <c r="H818" s="134"/>
      <c r="I818" s="335"/>
      <c r="J818" s="280"/>
      <c r="K818" s="5"/>
      <c r="L818" s="285"/>
      <c r="N818" s="490"/>
      <c r="O818" s="490"/>
      <c r="P818" s="490"/>
      <c r="Q818" s="490"/>
      <c r="R818" s="490"/>
      <c r="S818" s="490"/>
      <c r="T818" s="490"/>
    </row>
    <row r="819" spans="1:21" ht="17.25" customHeight="1">
      <c r="A819" s="345" t="s">
        <v>302</v>
      </c>
      <c r="B819" s="515" t="s">
        <v>416</v>
      </c>
      <c r="C819" s="515"/>
      <c r="D819" s="515"/>
      <c r="E819" s="515"/>
      <c r="F819" s="515"/>
      <c r="G819" s="515"/>
      <c r="H819" s="134"/>
      <c r="I819" s="14"/>
      <c r="J819" s="494">
        <v>542</v>
      </c>
      <c r="K819" s="5"/>
      <c r="L819" s="286" t="str">
        <f>IF(I819&gt;=0,"OK","ERROR")</f>
        <v>OK</v>
      </c>
    </row>
    <row r="820" spans="1:21" ht="17.25" customHeight="1">
      <c r="A820" s="345"/>
      <c r="B820" s="520" t="s">
        <v>325</v>
      </c>
      <c r="C820" s="520"/>
      <c r="D820" s="520"/>
      <c r="E820" s="520"/>
      <c r="F820" s="520"/>
      <c r="G820" s="520"/>
      <c r="H820" s="134"/>
      <c r="I820" s="258"/>
      <c r="J820" s="494"/>
      <c r="K820" s="5"/>
    </row>
    <row r="821" spans="1:21" ht="17.25" customHeight="1">
      <c r="A821" s="260" t="s">
        <v>303</v>
      </c>
      <c r="B821" s="515" t="s">
        <v>359</v>
      </c>
      <c r="C821" s="515"/>
      <c r="D821" s="515"/>
      <c r="E821" s="515"/>
      <c r="F821" s="515"/>
      <c r="G821" s="515"/>
      <c r="H821" s="134"/>
      <c r="I821" s="14"/>
      <c r="J821" s="494">
        <v>543</v>
      </c>
      <c r="K821" s="5"/>
      <c r="L821" s="286" t="str">
        <f>IF(AND(I821&gt;=0,I821&lt;=$I$819),"OK","ERROR")</f>
        <v>OK</v>
      </c>
    </row>
    <row r="822" spans="1:21" ht="17.25" customHeight="1">
      <c r="A822" s="260" t="s">
        <v>304</v>
      </c>
      <c r="B822" s="510" t="s">
        <v>360</v>
      </c>
      <c r="C822" s="510"/>
      <c r="D822" s="510"/>
      <c r="E822" s="510"/>
      <c r="F822" s="510"/>
      <c r="G822" s="510"/>
      <c r="H822" s="134"/>
      <c r="I822" s="14"/>
      <c r="J822" s="494">
        <v>544</v>
      </c>
      <c r="K822" s="5"/>
      <c r="L822" s="286" t="str">
        <f>IF(AND(I822&gt;=0,I822&lt;=$I$819),"OK","ERROR")</f>
        <v>OK</v>
      </c>
    </row>
    <row r="823" spans="1:21" ht="17.25" customHeight="1">
      <c r="A823" s="260" t="s">
        <v>305</v>
      </c>
      <c r="B823" s="510" t="s">
        <v>361</v>
      </c>
      <c r="C823" s="510"/>
      <c r="D823" s="510"/>
      <c r="E823" s="510"/>
      <c r="F823" s="510"/>
      <c r="G823" s="510"/>
      <c r="H823" s="134"/>
      <c r="I823" s="14"/>
      <c r="J823" s="494">
        <v>545</v>
      </c>
      <c r="K823" s="5"/>
      <c r="L823" s="286" t="str">
        <f>IF(AND(I823&gt;=0,I823&lt;=$I$819),"OK","ERROR")</f>
        <v>OK</v>
      </c>
    </row>
    <row r="824" spans="1:21" ht="17.25" customHeight="1">
      <c r="A824" s="345" t="s">
        <v>306</v>
      </c>
      <c r="B824" s="510" t="s">
        <v>417</v>
      </c>
      <c r="C824" s="510"/>
      <c r="D824" s="510"/>
      <c r="E824" s="510"/>
      <c r="F824" s="510"/>
      <c r="G824" s="510"/>
      <c r="H824" s="134"/>
      <c r="I824" s="14"/>
      <c r="J824" s="494">
        <v>546</v>
      </c>
      <c r="K824" s="5"/>
      <c r="L824" s="286" t="str">
        <f>IF(I824&gt;=0,"OK","ERROR")</f>
        <v>OK</v>
      </c>
    </row>
    <row r="825" spans="1:21" ht="17.25" customHeight="1">
      <c r="A825" s="345" t="s">
        <v>307</v>
      </c>
      <c r="B825" s="510" t="s">
        <v>418</v>
      </c>
      <c r="C825" s="510"/>
      <c r="D825" s="510"/>
      <c r="E825" s="510"/>
      <c r="F825" s="510"/>
      <c r="G825" s="510"/>
      <c r="H825" s="134"/>
      <c r="I825" s="14"/>
      <c r="J825" s="494">
        <v>547</v>
      </c>
      <c r="K825" s="5"/>
      <c r="L825" s="286" t="str">
        <f>IF(I825&gt;=0,"OK","ERROR")</f>
        <v>OK</v>
      </c>
    </row>
    <row r="826" spans="1:21" ht="17.25" customHeight="1">
      <c r="A826" s="345" t="s">
        <v>308</v>
      </c>
      <c r="B826" s="510" t="s">
        <v>419</v>
      </c>
      <c r="C826" s="510"/>
      <c r="D826" s="510"/>
      <c r="E826" s="510"/>
      <c r="F826" s="510"/>
      <c r="G826" s="510"/>
      <c r="H826" s="134"/>
      <c r="I826" s="14"/>
      <c r="J826" s="494">
        <v>548</v>
      </c>
      <c r="K826" s="5"/>
      <c r="L826" s="286" t="str">
        <f>IF(I826&gt;=0,"OK","ERROR")</f>
        <v>OK</v>
      </c>
    </row>
    <row r="827" spans="1:21" s="490" customFormat="1" ht="33" customHeight="1">
      <c r="A827" s="426" t="s">
        <v>309</v>
      </c>
      <c r="B827" s="516" t="s">
        <v>1429</v>
      </c>
      <c r="C827" s="516"/>
      <c r="D827" s="516"/>
      <c r="E827" s="516"/>
      <c r="F827" s="516"/>
      <c r="G827" s="516"/>
      <c r="H827" s="134"/>
      <c r="I827" s="14"/>
      <c r="J827" s="494">
        <v>560</v>
      </c>
      <c r="K827" s="5"/>
      <c r="L827" s="286" t="str">
        <f>IF(I827&gt;=0,"OK","ERROR")</f>
        <v>OK</v>
      </c>
      <c r="N827" s="460"/>
      <c r="O827" s="460"/>
      <c r="P827" s="460"/>
      <c r="Q827" s="460"/>
      <c r="R827" s="460"/>
      <c r="S827" s="460"/>
      <c r="T827" s="460"/>
      <c r="U827" s="460"/>
    </row>
    <row r="828" spans="1:21" s="490" customFormat="1" ht="33" customHeight="1">
      <c r="A828" s="426" t="s">
        <v>443</v>
      </c>
      <c r="B828" s="517" t="s">
        <v>1683</v>
      </c>
      <c r="C828" s="516"/>
      <c r="D828" s="516"/>
      <c r="E828" s="516"/>
      <c r="F828" s="516"/>
      <c r="G828" s="516"/>
      <c r="H828" s="134"/>
      <c r="I828" s="14"/>
      <c r="J828" s="494">
        <v>562</v>
      </c>
      <c r="K828" s="5"/>
      <c r="L828" s="286" t="str">
        <f>IF(I828&gt;=0,"OK","ERROR")</f>
        <v>OK</v>
      </c>
      <c r="N828" s="460"/>
      <c r="O828" s="460"/>
      <c r="P828" s="460"/>
      <c r="Q828" s="460"/>
      <c r="R828" s="460"/>
      <c r="S828" s="460"/>
      <c r="T828" s="460"/>
      <c r="U828" s="460"/>
    </row>
    <row r="829" spans="1:21" s="490" customFormat="1" ht="33" customHeight="1" thickBot="1">
      <c r="A829" s="269" t="s">
        <v>518</v>
      </c>
      <c r="B829" s="518" t="s">
        <v>299</v>
      </c>
      <c r="C829" s="519"/>
      <c r="D829" s="519"/>
      <c r="E829" s="519"/>
      <c r="F829" s="519"/>
      <c r="G829" s="519"/>
      <c r="H829" s="134"/>
      <c r="I829" s="279">
        <f>I830-I831</f>
        <v>0</v>
      </c>
      <c r="J829" s="494">
        <v>192</v>
      </c>
      <c r="K829" s="6"/>
      <c r="N829" s="460"/>
      <c r="O829" s="460"/>
      <c r="P829" s="460"/>
      <c r="Q829" s="460"/>
      <c r="R829" s="460"/>
      <c r="S829" s="460"/>
      <c r="T829" s="460"/>
      <c r="U829" s="460"/>
    </row>
    <row r="830" spans="1:21" s="490" customFormat="1" ht="17.25" customHeight="1" thickTop="1">
      <c r="A830" s="345" t="s">
        <v>519</v>
      </c>
      <c r="B830" s="510" t="s">
        <v>413</v>
      </c>
      <c r="C830" s="510"/>
      <c r="D830" s="510"/>
      <c r="E830" s="510"/>
      <c r="F830" s="510"/>
      <c r="G830" s="510"/>
      <c r="H830" s="134"/>
      <c r="I830" s="14"/>
      <c r="J830" s="494">
        <v>193</v>
      </c>
      <c r="K830" s="6"/>
      <c r="L830" s="286" t="str">
        <f>IF(I830&gt;=0,"OK","ERROR")</f>
        <v>OK</v>
      </c>
      <c r="N830" s="460"/>
      <c r="O830" s="460"/>
      <c r="P830" s="460"/>
      <c r="Q830" s="460"/>
      <c r="R830" s="460"/>
      <c r="S830" s="460"/>
      <c r="T830" s="460"/>
      <c r="U830" s="460"/>
    </row>
    <row r="831" spans="1:21" s="490" customFormat="1" ht="17.25" customHeight="1">
      <c r="A831" s="345" t="s">
        <v>520</v>
      </c>
      <c r="B831" s="510" t="s">
        <v>414</v>
      </c>
      <c r="C831" s="510"/>
      <c r="D831" s="510"/>
      <c r="E831" s="510"/>
      <c r="F831" s="510"/>
      <c r="G831" s="510"/>
      <c r="H831" s="134"/>
      <c r="I831" s="14"/>
      <c r="J831" s="494">
        <v>194</v>
      </c>
      <c r="K831" s="6"/>
      <c r="L831" s="286" t="str">
        <f>IF(I831&gt;=0,"OK","ERROR")</f>
        <v>OK</v>
      </c>
      <c r="N831" s="460"/>
      <c r="O831" s="460"/>
      <c r="P831" s="460"/>
      <c r="Q831" s="460"/>
      <c r="R831" s="460"/>
      <c r="S831" s="460"/>
      <c r="T831" s="460"/>
      <c r="U831" s="460"/>
    </row>
    <row r="832" spans="1:21" s="490" customFormat="1" ht="33" customHeight="1">
      <c r="A832" s="269" t="s">
        <v>521</v>
      </c>
      <c r="B832" s="511" t="s">
        <v>1641</v>
      </c>
      <c r="C832" s="512"/>
      <c r="D832" s="512"/>
      <c r="E832" s="512"/>
      <c r="F832" s="512"/>
      <c r="G832" s="512"/>
      <c r="H832" s="134"/>
      <c r="I832" s="14"/>
      <c r="J832" s="494">
        <v>198</v>
      </c>
      <c r="K832" s="6"/>
      <c r="N832" s="460"/>
      <c r="O832" s="460"/>
      <c r="P832" s="460"/>
      <c r="Q832" s="460"/>
      <c r="R832" s="460"/>
      <c r="S832" s="460"/>
      <c r="T832" s="460"/>
      <c r="U832" s="460"/>
    </row>
    <row r="833" spans="1:21" s="490" customFormat="1" ht="33" customHeight="1">
      <c r="A833" s="269" t="s">
        <v>522</v>
      </c>
      <c r="B833" s="513" t="s">
        <v>1642</v>
      </c>
      <c r="C833" s="514"/>
      <c r="D833" s="514"/>
      <c r="E833" s="514"/>
      <c r="F833" s="514"/>
      <c r="G833" s="514"/>
      <c r="H833" s="134"/>
      <c r="I833" s="283"/>
      <c r="J833" s="494"/>
      <c r="K833" s="5"/>
      <c r="L833" s="285"/>
      <c r="N833" s="460"/>
      <c r="O833" s="460"/>
      <c r="P833" s="460"/>
      <c r="Q833" s="460"/>
      <c r="R833" s="460"/>
      <c r="S833" s="460"/>
      <c r="T833" s="460"/>
      <c r="U833" s="460"/>
    </row>
    <row r="834" spans="1:21" s="490" customFormat="1" ht="17.25" customHeight="1">
      <c r="A834" s="345" t="s">
        <v>523</v>
      </c>
      <c r="B834" s="515" t="s">
        <v>357</v>
      </c>
      <c r="C834" s="515"/>
      <c r="D834" s="515"/>
      <c r="E834" s="515"/>
      <c r="F834" s="515"/>
      <c r="G834" s="515"/>
      <c r="H834" s="134"/>
      <c r="I834" s="281"/>
      <c r="J834" s="494">
        <v>200</v>
      </c>
      <c r="K834" s="6"/>
      <c r="L834" s="286" t="str">
        <f>IF(I834&lt;&gt;"",IF(I834&gt;=3,"OK","ERROR"),"OK")</f>
        <v>OK</v>
      </c>
      <c r="N834" s="460"/>
      <c r="O834" s="460"/>
      <c r="P834" s="460"/>
      <c r="Q834" s="460"/>
      <c r="R834" s="460"/>
      <c r="S834" s="460"/>
      <c r="T834" s="460"/>
      <c r="U834" s="460"/>
    </row>
    <row r="835" spans="1:21" s="490" customFormat="1" ht="17.25" customHeight="1">
      <c r="A835" s="250" t="s">
        <v>524</v>
      </c>
      <c r="B835" s="510" t="s">
        <v>358</v>
      </c>
      <c r="C835" s="510"/>
      <c r="D835" s="510"/>
      <c r="E835" s="510"/>
      <c r="F835" s="510"/>
      <c r="G835" s="510"/>
      <c r="H835" s="134"/>
      <c r="I835" s="281"/>
      <c r="J835" s="494">
        <v>202</v>
      </c>
      <c r="K835" s="6"/>
      <c r="L835" s="286" t="str">
        <f>IF(I835&lt;&gt;"",IF(I835&gt;=3,"OK","ERROR"),"OK")</f>
        <v>OK</v>
      </c>
      <c r="N835" s="460"/>
      <c r="O835" s="460"/>
      <c r="P835" s="460"/>
      <c r="Q835" s="460"/>
      <c r="R835" s="460"/>
      <c r="S835" s="460"/>
      <c r="T835" s="460"/>
      <c r="U835" s="460"/>
    </row>
    <row r="836" spans="1:21" s="490" customFormat="1" ht="6" customHeight="1">
      <c r="A836" s="256"/>
      <c r="B836" s="509"/>
      <c r="C836" s="509"/>
      <c r="D836" s="509"/>
      <c r="E836" s="509"/>
      <c r="F836" s="509"/>
      <c r="G836" s="509"/>
      <c r="H836" s="8"/>
      <c r="I836" s="167"/>
      <c r="J836" s="128"/>
      <c r="K836" s="6"/>
      <c r="L836" s="285"/>
      <c r="N836" s="460"/>
      <c r="O836" s="460"/>
      <c r="P836" s="460"/>
      <c r="Q836" s="460"/>
      <c r="R836" s="460"/>
      <c r="S836" s="460"/>
      <c r="T836" s="460"/>
      <c r="U836" s="460"/>
    </row>
    <row r="837" spans="1:21" s="490" customFormat="1" ht="15" customHeight="1">
      <c r="A837" s="252"/>
      <c r="B837" s="452" t="str">
        <f>"Version: "&amp;D847</f>
        <v>Version: 3.05.E0</v>
      </c>
      <c r="C837" s="6"/>
      <c r="D837" s="6"/>
      <c r="E837" s="6"/>
      <c r="F837" s="6"/>
      <c r="G837" s="6"/>
      <c r="H837" s="6"/>
      <c r="I837" s="460"/>
      <c r="J837" s="170" t="s">
        <v>157</v>
      </c>
      <c r="K837" s="460"/>
      <c r="L837" s="284"/>
      <c r="N837" s="460"/>
      <c r="O837" s="460"/>
      <c r="P837" s="460"/>
      <c r="Q837" s="460"/>
      <c r="R837" s="460"/>
      <c r="S837" s="460"/>
      <c r="T837" s="460"/>
      <c r="U837" s="460"/>
    </row>
    <row r="838" spans="1:21" s="490" customFormat="1">
      <c r="A838" s="251"/>
      <c r="B838" s="460"/>
      <c r="C838" s="460"/>
      <c r="D838" s="460"/>
      <c r="E838" s="460"/>
      <c r="F838" s="460"/>
      <c r="G838" s="460"/>
      <c r="H838" s="460"/>
      <c r="I838" s="460"/>
      <c r="J838" s="460"/>
      <c r="K838" s="460"/>
      <c r="L838" s="284"/>
      <c r="N838" s="460"/>
      <c r="O838" s="460"/>
      <c r="P838" s="460"/>
      <c r="Q838" s="460"/>
      <c r="R838" s="460"/>
      <c r="S838" s="460"/>
      <c r="T838" s="460"/>
      <c r="U838" s="460"/>
    </row>
    <row r="839" spans="1:21" s="490" customFormat="1">
      <c r="A839" s="367" t="s">
        <v>1148</v>
      </c>
      <c r="B839" s="460" t="s">
        <v>91</v>
      </c>
      <c r="C839" s="460"/>
      <c r="D839" s="460"/>
      <c r="E839" s="460"/>
      <c r="F839" s="460"/>
      <c r="G839" s="460"/>
      <c r="H839" s="460"/>
      <c r="I839" s="460"/>
      <c r="J839" s="460"/>
      <c r="K839" s="460"/>
      <c r="L839" s="285"/>
      <c r="N839" s="460"/>
      <c r="O839" s="460"/>
      <c r="P839" s="460"/>
      <c r="Q839" s="460"/>
      <c r="R839" s="460"/>
      <c r="S839" s="460"/>
      <c r="T839" s="460"/>
      <c r="U839" s="460"/>
    </row>
    <row r="840" spans="1:21" s="490" customFormat="1">
      <c r="A840" s="251"/>
      <c r="B840" s="460" t="s">
        <v>92</v>
      </c>
      <c r="C840" s="460"/>
      <c r="D840" s="460"/>
      <c r="E840" s="460"/>
      <c r="F840" s="460"/>
      <c r="G840" s="460"/>
      <c r="H840" s="460"/>
      <c r="I840" s="460"/>
      <c r="J840" s="460"/>
      <c r="K840" s="460"/>
      <c r="L840" s="284"/>
      <c r="N840" s="460"/>
      <c r="O840" s="460"/>
      <c r="P840" s="460"/>
      <c r="Q840" s="460"/>
      <c r="R840" s="460"/>
      <c r="S840" s="460"/>
      <c r="T840" s="460"/>
      <c r="U840" s="460"/>
    </row>
    <row r="841" spans="1:21" s="490" customFormat="1">
      <c r="A841" s="251"/>
      <c r="B841" s="460" t="s">
        <v>93</v>
      </c>
      <c r="C841" s="460"/>
      <c r="D841" s="460"/>
      <c r="E841" s="460"/>
      <c r="F841" s="460"/>
      <c r="G841" s="460"/>
      <c r="H841" s="460"/>
      <c r="I841" s="460"/>
      <c r="J841" s="460"/>
      <c r="K841" s="460"/>
      <c r="L841" s="284"/>
      <c r="N841" s="460"/>
      <c r="O841" s="460"/>
      <c r="P841" s="460"/>
      <c r="Q841" s="460"/>
      <c r="R841" s="460"/>
      <c r="S841" s="460"/>
      <c r="T841" s="460"/>
      <c r="U841" s="460"/>
    </row>
    <row r="842" spans="1:21" s="490" customFormat="1">
      <c r="A842" s="251"/>
      <c r="B842" s="460"/>
      <c r="C842" s="460"/>
      <c r="D842" s="460"/>
      <c r="E842" s="460"/>
      <c r="F842" s="460"/>
      <c r="G842" s="460"/>
      <c r="H842" s="460"/>
      <c r="I842" s="460"/>
      <c r="J842" s="460"/>
      <c r="K842" s="460"/>
      <c r="L842" s="284"/>
      <c r="N842" s="460"/>
      <c r="O842" s="460"/>
      <c r="P842" s="460"/>
      <c r="Q842" s="460"/>
      <c r="R842" s="460"/>
      <c r="S842" s="460"/>
      <c r="T842" s="460"/>
      <c r="U842" s="460"/>
    </row>
    <row r="844" spans="1:21" s="490" customFormat="1">
      <c r="A844" s="368"/>
      <c r="B844" s="238"/>
      <c r="C844" s="31" t="s">
        <v>94</v>
      </c>
      <c r="D844" s="16" t="str">
        <f>I2</f>
        <v>XXXXXX</v>
      </c>
      <c r="E844" s="460"/>
      <c r="F844" s="460"/>
      <c r="G844" s="460"/>
      <c r="H844" s="460"/>
      <c r="I844" s="460"/>
      <c r="J844" s="460"/>
      <c r="K844" s="460"/>
      <c r="L844" s="284"/>
      <c r="N844" s="460"/>
      <c r="O844" s="460"/>
      <c r="P844" s="460"/>
      <c r="Q844" s="460"/>
      <c r="R844" s="460"/>
      <c r="S844" s="460"/>
      <c r="T844" s="460"/>
      <c r="U844" s="460"/>
    </row>
    <row r="845" spans="1:21" s="490" customFormat="1">
      <c r="A845" s="369"/>
      <c r="B845" s="9"/>
      <c r="C845" s="6"/>
      <c r="D845" s="239" t="str">
        <f>I1</f>
        <v>CSIB_CASABISIRB</v>
      </c>
      <c r="E845" s="460"/>
      <c r="F845" s="460"/>
      <c r="G845" s="460"/>
      <c r="H845" s="460"/>
      <c r="I845" s="460"/>
      <c r="J845" s="460"/>
      <c r="K845" s="460"/>
      <c r="L845" s="284"/>
      <c r="N845" s="460"/>
      <c r="O845" s="460"/>
      <c r="P845" s="460"/>
      <c r="Q845" s="460"/>
      <c r="R845" s="460"/>
      <c r="S845" s="460"/>
      <c r="T845" s="460"/>
      <c r="U845" s="460"/>
    </row>
    <row r="846" spans="1:21" s="490" customFormat="1">
      <c r="A846" s="369"/>
      <c r="B846" s="9"/>
      <c r="C846" s="6"/>
      <c r="D846" s="239" t="str">
        <f>I3</f>
        <v>DD.MM.YYYY</v>
      </c>
      <c r="E846" s="460"/>
      <c r="F846" s="460"/>
      <c r="G846" s="460"/>
      <c r="H846" s="460"/>
      <c r="I846" s="460"/>
      <c r="J846" s="460"/>
      <c r="K846" s="460"/>
      <c r="L846" s="284"/>
      <c r="N846" s="460"/>
      <c r="O846" s="460"/>
      <c r="P846" s="460"/>
      <c r="Q846" s="460"/>
      <c r="R846" s="460"/>
      <c r="S846" s="460"/>
      <c r="T846" s="460"/>
      <c r="U846" s="460"/>
    </row>
    <row r="847" spans="1:21" s="490" customFormat="1">
      <c r="A847" s="369"/>
      <c r="B847" s="9"/>
      <c r="C847" s="6"/>
      <c r="D847" s="453" t="s">
        <v>1788</v>
      </c>
      <c r="E847" s="460"/>
      <c r="F847" s="460"/>
      <c r="G847" s="460"/>
      <c r="H847" s="460"/>
      <c r="I847" s="460"/>
      <c r="J847" s="460"/>
      <c r="K847" s="460"/>
      <c r="L847" s="284"/>
      <c r="N847" s="460"/>
      <c r="O847" s="460"/>
      <c r="P847" s="460"/>
      <c r="Q847" s="460"/>
      <c r="R847" s="460"/>
      <c r="S847" s="460"/>
      <c r="T847" s="460"/>
      <c r="U847" s="460"/>
    </row>
    <row r="848" spans="1:21" s="490" customFormat="1">
      <c r="A848" s="369"/>
      <c r="B848" s="9"/>
      <c r="C848" s="6"/>
      <c r="D848" s="134" t="str">
        <f>I10</f>
        <v>col. 01</v>
      </c>
      <c r="E848" s="460"/>
      <c r="F848" s="460"/>
      <c r="G848" s="460"/>
      <c r="H848" s="460"/>
      <c r="I848" s="460"/>
      <c r="J848" s="460"/>
      <c r="K848" s="460"/>
      <c r="L848" s="284"/>
      <c r="N848" s="460"/>
      <c r="O848" s="460"/>
      <c r="P848" s="460"/>
      <c r="Q848" s="460"/>
      <c r="R848" s="460"/>
      <c r="S848" s="460"/>
      <c r="T848" s="460"/>
      <c r="U848" s="460"/>
    </row>
    <row r="849" spans="1:21" s="490" customFormat="1">
      <c r="A849" s="370"/>
      <c r="B849" s="75"/>
      <c r="C849" s="8"/>
      <c r="D849" s="296">
        <f>COUNTIF(K11:L835,"ERROR")</f>
        <v>15</v>
      </c>
      <c r="E849" s="460"/>
      <c r="F849" s="460"/>
      <c r="G849" s="460"/>
      <c r="H849" s="460"/>
      <c r="I849" s="460"/>
      <c r="J849" s="460"/>
      <c r="K849" s="460"/>
      <c r="L849" s="284"/>
      <c r="N849" s="460"/>
      <c r="O849" s="460"/>
      <c r="P849" s="460"/>
      <c r="Q849" s="460"/>
      <c r="R849" s="460"/>
      <c r="S849" s="460"/>
      <c r="T849" s="460"/>
      <c r="U849" s="460"/>
    </row>
    <row r="850" spans="1:21" s="490" customFormat="1">
      <c r="A850" s="251"/>
      <c r="B850" s="9"/>
      <c r="C850" s="7"/>
      <c r="D850" s="6"/>
      <c r="E850" s="460"/>
      <c r="F850" s="460"/>
      <c r="G850" s="460"/>
      <c r="H850" s="460"/>
      <c r="I850" s="460"/>
      <c r="J850" s="460"/>
      <c r="K850" s="460"/>
      <c r="L850" s="284"/>
      <c r="N850" s="460"/>
      <c r="O850" s="460"/>
      <c r="P850" s="460"/>
      <c r="Q850" s="460"/>
      <c r="R850" s="460"/>
      <c r="S850" s="460"/>
      <c r="T850" s="460"/>
      <c r="U850" s="460"/>
    </row>
    <row r="851" spans="1:21">
      <c r="A851" s="251"/>
      <c r="B851" s="241"/>
      <c r="C851" s="7"/>
      <c r="D851" s="6"/>
    </row>
  </sheetData>
  <sheetProtection sheet="1" objects="1" scenarios="1"/>
  <mergeCells count="825">
    <mergeCell ref="D3:F3"/>
    <mergeCell ref="D4:F4"/>
    <mergeCell ref="D5:F5"/>
    <mergeCell ref="D6:F6"/>
    <mergeCell ref="B12:G12"/>
    <mergeCell ref="B13:G13"/>
    <mergeCell ref="B20:G20"/>
    <mergeCell ref="B21:G21"/>
    <mergeCell ref="B22:G22"/>
    <mergeCell ref="B23:G23"/>
    <mergeCell ref="B24:G24"/>
    <mergeCell ref="B25:G25"/>
    <mergeCell ref="B14:G14"/>
    <mergeCell ref="B15:G15"/>
    <mergeCell ref="B16:G16"/>
    <mergeCell ref="B17:G17"/>
    <mergeCell ref="B18:G18"/>
    <mergeCell ref="B19:G19"/>
    <mergeCell ref="B32:G32"/>
    <mergeCell ref="B33:G33"/>
    <mergeCell ref="B34:G34"/>
    <mergeCell ref="B35:G35"/>
    <mergeCell ref="B36:G36"/>
    <mergeCell ref="B37:G37"/>
    <mergeCell ref="B26:G26"/>
    <mergeCell ref="B27:G27"/>
    <mergeCell ref="B28:G28"/>
    <mergeCell ref="B29:G29"/>
    <mergeCell ref="B30:G30"/>
    <mergeCell ref="B31:G31"/>
    <mergeCell ref="B44:G44"/>
    <mergeCell ref="B45:G45"/>
    <mergeCell ref="B46:G46"/>
    <mergeCell ref="B47:G47"/>
    <mergeCell ref="B48:G48"/>
    <mergeCell ref="B49:G49"/>
    <mergeCell ref="B38:G38"/>
    <mergeCell ref="B39:G39"/>
    <mergeCell ref="B40:G40"/>
    <mergeCell ref="B41:G41"/>
    <mergeCell ref="B42:G42"/>
    <mergeCell ref="B43:G43"/>
    <mergeCell ref="B56:G56"/>
    <mergeCell ref="B57:G57"/>
    <mergeCell ref="B58:G58"/>
    <mergeCell ref="B59:G59"/>
    <mergeCell ref="B60:G60"/>
    <mergeCell ref="B61:G61"/>
    <mergeCell ref="B50:G50"/>
    <mergeCell ref="B51:G51"/>
    <mergeCell ref="B52:G52"/>
    <mergeCell ref="B53:G53"/>
    <mergeCell ref="B54:G54"/>
    <mergeCell ref="B55:G55"/>
    <mergeCell ref="B68:G68"/>
    <mergeCell ref="B69:G69"/>
    <mergeCell ref="B70:G70"/>
    <mergeCell ref="B71:G71"/>
    <mergeCell ref="B72:G72"/>
    <mergeCell ref="B73:G73"/>
    <mergeCell ref="B62:G62"/>
    <mergeCell ref="B63:G63"/>
    <mergeCell ref="B64:G64"/>
    <mergeCell ref="B65:G65"/>
    <mergeCell ref="B66:G66"/>
    <mergeCell ref="B67:G67"/>
    <mergeCell ref="B80:G80"/>
    <mergeCell ref="B81:G81"/>
    <mergeCell ref="B82:G82"/>
    <mergeCell ref="B83:G83"/>
    <mergeCell ref="B84:G84"/>
    <mergeCell ref="B85:G85"/>
    <mergeCell ref="B74:G74"/>
    <mergeCell ref="B75:G75"/>
    <mergeCell ref="B76:G76"/>
    <mergeCell ref="B77:G77"/>
    <mergeCell ref="B78:G78"/>
    <mergeCell ref="B79:G79"/>
    <mergeCell ref="B92:G92"/>
    <mergeCell ref="B93:G93"/>
    <mergeCell ref="B94:G94"/>
    <mergeCell ref="B95:G95"/>
    <mergeCell ref="B96:G96"/>
    <mergeCell ref="B97:G97"/>
    <mergeCell ref="B86:G86"/>
    <mergeCell ref="B87:G87"/>
    <mergeCell ref="B88:G88"/>
    <mergeCell ref="B89:G89"/>
    <mergeCell ref="B90:G90"/>
    <mergeCell ref="B91:G91"/>
    <mergeCell ref="B104:G104"/>
    <mergeCell ref="B105:G105"/>
    <mergeCell ref="B106:G106"/>
    <mergeCell ref="B107:G107"/>
    <mergeCell ref="B108:G108"/>
    <mergeCell ref="B109:G109"/>
    <mergeCell ref="B98:G98"/>
    <mergeCell ref="B99:G99"/>
    <mergeCell ref="B100:G100"/>
    <mergeCell ref="B101:G101"/>
    <mergeCell ref="B102:G102"/>
    <mergeCell ref="B103:G103"/>
    <mergeCell ref="B116:G116"/>
    <mergeCell ref="B117:G117"/>
    <mergeCell ref="B118:G118"/>
    <mergeCell ref="B119:G119"/>
    <mergeCell ref="B120:G120"/>
    <mergeCell ref="B121:G121"/>
    <mergeCell ref="B110:G110"/>
    <mergeCell ref="B111:G111"/>
    <mergeCell ref="B112:G112"/>
    <mergeCell ref="B113:G113"/>
    <mergeCell ref="B114:G114"/>
    <mergeCell ref="B115:G115"/>
    <mergeCell ref="B128:G128"/>
    <mergeCell ref="B129:G129"/>
    <mergeCell ref="B130:G130"/>
    <mergeCell ref="B131:G131"/>
    <mergeCell ref="B132:G132"/>
    <mergeCell ref="B133:G133"/>
    <mergeCell ref="B122:G122"/>
    <mergeCell ref="B123:G123"/>
    <mergeCell ref="B124:G124"/>
    <mergeCell ref="B125:G125"/>
    <mergeCell ref="B126:G126"/>
    <mergeCell ref="B127:G127"/>
    <mergeCell ref="B140:G140"/>
    <mergeCell ref="B141:G141"/>
    <mergeCell ref="B142:G142"/>
    <mergeCell ref="B143:G143"/>
    <mergeCell ref="B144:G144"/>
    <mergeCell ref="B145:G145"/>
    <mergeCell ref="B134:G134"/>
    <mergeCell ref="B135:G135"/>
    <mergeCell ref="B136:G136"/>
    <mergeCell ref="B137:G137"/>
    <mergeCell ref="B138:G138"/>
    <mergeCell ref="B139:G139"/>
    <mergeCell ref="B152:G152"/>
    <mergeCell ref="B153:G153"/>
    <mergeCell ref="B154:G154"/>
    <mergeCell ref="B155:G155"/>
    <mergeCell ref="B156:G156"/>
    <mergeCell ref="B157:G157"/>
    <mergeCell ref="B146:G146"/>
    <mergeCell ref="B147:G147"/>
    <mergeCell ref="B148:G148"/>
    <mergeCell ref="B149:G149"/>
    <mergeCell ref="B150:G150"/>
    <mergeCell ref="B151:G151"/>
    <mergeCell ref="B164:G164"/>
    <mergeCell ref="B165:G165"/>
    <mergeCell ref="B166:G166"/>
    <mergeCell ref="B167:G167"/>
    <mergeCell ref="B168:G168"/>
    <mergeCell ref="B169:G169"/>
    <mergeCell ref="B158:G158"/>
    <mergeCell ref="B159:G159"/>
    <mergeCell ref="B160:G160"/>
    <mergeCell ref="B161:G161"/>
    <mergeCell ref="B162:G162"/>
    <mergeCell ref="B163:G163"/>
    <mergeCell ref="B176:G176"/>
    <mergeCell ref="B177:G177"/>
    <mergeCell ref="B178:G178"/>
    <mergeCell ref="B179:G179"/>
    <mergeCell ref="B180:G180"/>
    <mergeCell ref="B181:G181"/>
    <mergeCell ref="B170:G170"/>
    <mergeCell ref="B171:G171"/>
    <mergeCell ref="B172:G172"/>
    <mergeCell ref="B173:G173"/>
    <mergeCell ref="B174:G174"/>
    <mergeCell ref="B175:G175"/>
    <mergeCell ref="B188:G188"/>
    <mergeCell ref="B189:G189"/>
    <mergeCell ref="B190:G190"/>
    <mergeCell ref="B191:G191"/>
    <mergeCell ref="B192:G192"/>
    <mergeCell ref="B193:G193"/>
    <mergeCell ref="B182:G182"/>
    <mergeCell ref="B183:G183"/>
    <mergeCell ref="B184:G184"/>
    <mergeCell ref="B185:G185"/>
    <mergeCell ref="B186:G186"/>
    <mergeCell ref="B187:G187"/>
    <mergeCell ref="B200:G200"/>
    <mergeCell ref="B201:G201"/>
    <mergeCell ref="B202:G202"/>
    <mergeCell ref="B203:G203"/>
    <mergeCell ref="B204:G204"/>
    <mergeCell ref="B205:G205"/>
    <mergeCell ref="B194:G194"/>
    <mergeCell ref="B195:G195"/>
    <mergeCell ref="B196:G196"/>
    <mergeCell ref="B197:G197"/>
    <mergeCell ref="B198:G198"/>
    <mergeCell ref="B199:G199"/>
    <mergeCell ref="B212:G212"/>
    <mergeCell ref="B213:G213"/>
    <mergeCell ref="B214:G214"/>
    <mergeCell ref="B215:G215"/>
    <mergeCell ref="B216:G216"/>
    <mergeCell ref="B217:G217"/>
    <mergeCell ref="B206:G206"/>
    <mergeCell ref="B207:G207"/>
    <mergeCell ref="B208:G208"/>
    <mergeCell ref="B209:G209"/>
    <mergeCell ref="B210:G210"/>
    <mergeCell ref="B211:G211"/>
    <mergeCell ref="B224:G224"/>
    <mergeCell ref="B225:G225"/>
    <mergeCell ref="B226:G226"/>
    <mergeCell ref="B227:G227"/>
    <mergeCell ref="B228:G228"/>
    <mergeCell ref="B229:G229"/>
    <mergeCell ref="B218:G218"/>
    <mergeCell ref="B219:G219"/>
    <mergeCell ref="B220:G220"/>
    <mergeCell ref="B221:G221"/>
    <mergeCell ref="B222:G222"/>
    <mergeCell ref="B223:G223"/>
    <mergeCell ref="B236:G236"/>
    <mergeCell ref="B237:G237"/>
    <mergeCell ref="B238:G238"/>
    <mergeCell ref="B239:G239"/>
    <mergeCell ref="B240:G240"/>
    <mergeCell ref="B241:G241"/>
    <mergeCell ref="B230:G230"/>
    <mergeCell ref="B231:G231"/>
    <mergeCell ref="B232:G232"/>
    <mergeCell ref="B233:G233"/>
    <mergeCell ref="B234:G234"/>
    <mergeCell ref="B235:G235"/>
    <mergeCell ref="B248:G248"/>
    <mergeCell ref="B249:G249"/>
    <mergeCell ref="B250:G250"/>
    <mergeCell ref="B251:G251"/>
    <mergeCell ref="B252:G252"/>
    <mergeCell ref="B253:G253"/>
    <mergeCell ref="B242:G242"/>
    <mergeCell ref="B243:G243"/>
    <mergeCell ref="B244:G244"/>
    <mergeCell ref="B245:G245"/>
    <mergeCell ref="B246:G246"/>
    <mergeCell ref="B247:G247"/>
    <mergeCell ref="B260:G260"/>
    <mergeCell ref="B261:G261"/>
    <mergeCell ref="B262:G262"/>
    <mergeCell ref="B263:G263"/>
    <mergeCell ref="B264:G264"/>
    <mergeCell ref="B265:G265"/>
    <mergeCell ref="B254:G254"/>
    <mergeCell ref="B255:G255"/>
    <mergeCell ref="B256:G256"/>
    <mergeCell ref="B257:G257"/>
    <mergeCell ref="B258:G258"/>
    <mergeCell ref="B259:G259"/>
    <mergeCell ref="B272:G272"/>
    <mergeCell ref="B273:G273"/>
    <mergeCell ref="B274:G274"/>
    <mergeCell ref="B275:G275"/>
    <mergeCell ref="B276:G276"/>
    <mergeCell ref="B277:G277"/>
    <mergeCell ref="B266:G266"/>
    <mergeCell ref="B267:G267"/>
    <mergeCell ref="B268:G268"/>
    <mergeCell ref="B269:G269"/>
    <mergeCell ref="B270:G270"/>
    <mergeCell ref="B271:G271"/>
    <mergeCell ref="B284:G284"/>
    <mergeCell ref="B285:G285"/>
    <mergeCell ref="B286:G286"/>
    <mergeCell ref="B287:G287"/>
    <mergeCell ref="B288:G288"/>
    <mergeCell ref="B289:G289"/>
    <mergeCell ref="B278:G278"/>
    <mergeCell ref="B279:G279"/>
    <mergeCell ref="B280:G280"/>
    <mergeCell ref="B281:G281"/>
    <mergeCell ref="B282:G282"/>
    <mergeCell ref="B283:G283"/>
    <mergeCell ref="B296:G296"/>
    <mergeCell ref="B297:G297"/>
    <mergeCell ref="B298:G298"/>
    <mergeCell ref="B299:G299"/>
    <mergeCell ref="B300:G300"/>
    <mergeCell ref="B301:G301"/>
    <mergeCell ref="B290:G290"/>
    <mergeCell ref="B291:G291"/>
    <mergeCell ref="B292:G292"/>
    <mergeCell ref="B293:G293"/>
    <mergeCell ref="B294:G294"/>
    <mergeCell ref="B295:G295"/>
    <mergeCell ref="B308:G308"/>
    <mergeCell ref="B309:G309"/>
    <mergeCell ref="B310:G310"/>
    <mergeCell ref="B311:G311"/>
    <mergeCell ref="B312:G312"/>
    <mergeCell ref="B313:G313"/>
    <mergeCell ref="B302:G302"/>
    <mergeCell ref="B303:G303"/>
    <mergeCell ref="B304:G304"/>
    <mergeCell ref="B305:G305"/>
    <mergeCell ref="B306:G306"/>
    <mergeCell ref="B307:G307"/>
    <mergeCell ref="B320:G320"/>
    <mergeCell ref="B321:G321"/>
    <mergeCell ref="B322:G322"/>
    <mergeCell ref="B323:G323"/>
    <mergeCell ref="B324:G324"/>
    <mergeCell ref="B325:G325"/>
    <mergeCell ref="B314:G314"/>
    <mergeCell ref="B315:G315"/>
    <mergeCell ref="B316:G316"/>
    <mergeCell ref="B317:G317"/>
    <mergeCell ref="B318:G318"/>
    <mergeCell ref="B319:G319"/>
    <mergeCell ref="B332:G332"/>
    <mergeCell ref="B333:G333"/>
    <mergeCell ref="B334:G334"/>
    <mergeCell ref="B335:G335"/>
    <mergeCell ref="B336:G336"/>
    <mergeCell ref="B337:G337"/>
    <mergeCell ref="B326:G326"/>
    <mergeCell ref="B327:G327"/>
    <mergeCell ref="B328:G328"/>
    <mergeCell ref="B329:G329"/>
    <mergeCell ref="B330:G330"/>
    <mergeCell ref="B331:G331"/>
    <mergeCell ref="B344:G344"/>
    <mergeCell ref="B345:G345"/>
    <mergeCell ref="B346:G346"/>
    <mergeCell ref="B347:G347"/>
    <mergeCell ref="B348:G348"/>
    <mergeCell ref="B349:G349"/>
    <mergeCell ref="B338:G338"/>
    <mergeCell ref="B339:G339"/>
    <mergeCell ref="B340:G340"/>
    <mergeCell ref="B341:G341"/>
    <mergeCell ref="B342:G342"/>
    <mergeCell ref="B343:G343"/>
    <mergeCell ref="B356:G356"/>
    <mergeCell ref="B357:G357"/>
    <mergeCell ref="B358:G358"/>
    <mergeCell ref="B359:G359"/>
    <mergeCell ref="B360:G360"/>
    <mergeCell ref="B361:G361"/>
    <mergeCell ref="B350:G350"/>
    <mergeCell ref="B351:G351"/>
    <mergeCell ref="B352:G352"/>
    <mergeCell ref="B353:G353"/>
    <mergeCell ref="B354:G354"/>
    <mergeCell ref="B355:G355"/>
    <mergeCell ref="B368:G368"/>
    <mergeCell ref="B369:G369"/>
    <mergeCell ref="B370:G370"/>
    <mergeCell ref="B371:G371"/>
    <mergeCell ref="B372:G372"/>
    <mergeCell ref="B373:G373"/>
    <mergeCell ref="B362:G362"/>
    <mergeCell ref="B363:G363"/>
    <mergeCell ref="B364:G364"/>
    <mergeCell ref="B365:G365"/>
    <mergeCell ref="B366:G366"/>
    <mergeCell ref="B367:G367"/>
    <mergeCell ref="B380:G380"/>
    <mergeCell ref="B381:G381"/>
    <mergeCell ref="B382:G382"/>
    <mergeCell ref="B383:G383"/>
    <mergeCell ref="B384:G384"/>
    <mergeCell ref="B385:G385"/>
    <mergeCell ref="B374:G374"/>
    <mergeCell ref="B375:G375"/>
    <mergeCell ref="B376:G376"/>
    <mergeCell ref="B377:G377"/>
    <mergeCell ref="B378:G378"/>
    <mergeCell ref="B379:G379"/>
    <mergeCell ref="B392:G392"/>
    <mergeCell ref="B393:G393"/>
    <mergeCell ref="B394:G394"/>
    <mergeCell ref="B395:G395"/>
    <mergeCell ref="B396:G396"/>
    <mergeCell ref="B397:G397"/>
    <mergeCell ref="B386:G386"/>
    <mergeCell ref="B387:G387"/>
    <mergeCell ref="B388:G388"/>
    <mergeCell ref="B389:G389"/>
    <mergeCell ref="B390:G390"/>
    <mergeCell ref="B391:G391"/>
    <mergeCell ref="B404:G404"/>
    <mergeCell ref="B405:G405"/>
    <mergeCell ref="B406:G406"/>
    <mergeCell ref="B407:G407"/>
    <mergeCell ref="B408:G408"/>
    <mergeCell ref="B409:G409"/>
    <mergeCell ref="B398:G398"/>
    <mergeCell ref="B399:G399"/>
    <mergeCell ref="B400:G400"/>
    <mergeCell ref="B401:G401"/>
    <mergeCell ref="B402:G402"/>
    <mergeCell ref="B403:G403"/>
    <mergeCell ref="B416:G416"/>
    <mergeCell ref="B417:G417"/>
    <mergeCell ref="B418:G418"/>
    <mergeCell ref="B419:G419"/>
    <mergeCell ref="B420:G420"/>
    <mergeCell ref="B421:G421"/>
    <mergeCell ref="B410:G410"/>
    <mergeCell ref="B411:G411"/>
    <mergeCell ref="B412:G412"/>
    <mergeCell ref="B413:G413"/>
    <mergeCell ref="B414:G414"/>
    <mergeCell ref="B415:G415"/>
    <mergeCell ref="B428:G428"/>
    <mergeCell ref="B429:G429"/>
    <mergeCell ref="B430:G430"/>
    <mergeCell ref="B431:G431"/>
    <mergeCell ref="B432:G432"/>
    <mergeCell ref="B433:G433"/>
    <mergeCell ref="B422:G422"/>
    <mergeCell ref="B423:G423"/>
    <mergeCell ref="B424:G424"/>
    <mergeCell ref="B425:G425"/>
    <mergeCell ref="B426:G426"/>
    <mergeCell ref="B427:G427"/>
    <mergeCell ref="B440:G440"/>
    <mergeCell ref="B441:G441"/>
    <mergeCell ref="B442:G442"/>
    <mergeCell ref="B443:G443"/>
    <mergeCell ref="B444:G444"/>
    <mergeCell ref="B445:G445"/>
    <mergeCell ref="B434:G434"/>
    <mergeCell ref="B435:G435"/>
    <mergeCell ref="B436:G436"/>
    <mergeCell ref="B437:G437"/>
    <mergeCell ref="B438:G438"/>
    <mergeCell ref="B439:G439"/>
    <mergeCell ref="B452:G452"/>
    <mergeCell ref="B453:G453"/>
    <mergeCell ref="B454:G454"/>
    <mergeCell ref="B455:G455"/>
    <mergeCell ref="B456:G456"/>
    <mergeCell ref="B457:G457"/>
    <mergeCell ref="B446:G446"/>
    <mergeCell ref="B447:G447"/>
    <mergeCell ref="B448:G448"/>
    <mergeCell ref="B449:G449"/>
    <mergeCell ref="B450:G450"/>
    <mergeCell ref="B451:G451"/>
    <mergeCell ref="B464:G464"/>
    <mergeCell ref="B465:G465"/>
    <mergeCell ref="B466:G466"/>
    <mergeCell ref="B467:G467"/>
    <mergeCell ref="B468:G468"/>
    <mergeCell ref="B469:G469"/>
    <mergeCell ref="B458:G458"/>
    <mergeCell ref="B459:G459"/>
    <mergeCell ref="B460:G460"/>
    <mergeCell ref="B461:G461"/>
    <mergeCell ref="B462:G462"/>
    <mergeCell ref="B463:G463"/>
    <mergeCell ref="B476:G476"/>
    <mergeCell ref="B477:G477"/>
    <mergeCell ref="B478:G478"/>
    <mergeCell ref="B479:G479"/>
    <mergeCell ref="B480:G480"/>
    <mergeCell ref="B481:G481"/>
    <mergeCell ref="B470:G470"/>
    <mergeCell ref="B471:G471"/>
    <mergeCell ref="B472:G472"/>
    <mergeCell ref="B473:G473"/>
    <mergeCell ref="B474:G474"/>
    <mergeCell ref="B475:G475"/>
    <mergeCell ref="B488:G488"/>
    <mergeCell ref="B489:G489"/>
    <mergeCell ref="B490:G490"/>
    <mergeCell ref="B491:G491"/>
    <mergeCell ref="B492:G492"/>
    <mergeCell ref="B493:G493"/>
    <mergeCell ref="B482:G482"/>
    <mergeCell ref="B483:G483"/>
    <mergeCell ref="B484:G484"/>
    <mergeCell ref="B485:G485"/>
    <mergeCell ref="B486:G486"/>
    <mergeCell ref="B487:G487"/>
    <mergeCell ref="B500:G500"/>
    <mergeCell ref="B501:G501"/>
    <mergeCell ref="B502:G502"/>
    <mergeCell ref="B503:G503"/>
    <mergeCell ref="B504:G504"/>
    <mergeCell ref="B505:G505"/>
    <mergeCell ref="B494:G494"/>
    <mergeCell ref="B495:G495"/>
    <mergeCell ref="B496:G496"/>
    <mergeCell ref="B497:G497"/>
    <mergeCell ref="B498:G498"/>
    <mergeCell ref="B499:G499"/>
    <mergeCell ref="B512:G512"/>
    <mergeCell ref="B513:G513"/>
    <mergeCell ref="B514:G514"/>
    <mergeCell ref="B515:G515"/>
    <mergeCell ref="B516:G516"/>
    <mergeCell ref="B517:G517"/>
    <mergeCell ref="B506:G506"/>
    <mergeCell ref="B507:G507"/>
    <mergeCell ref="B508:G508"/>
    <mergeCell ref="B509:G509"/>
    <mergeCell ref="B510:G510"/>
    <mergeCell ref="B511:G511"/>
    <mergeCell ref="B524:G524"/>
    <mergeCell ref="B525:G525"/>
    <mergeCell ref="B526:G526"/>
    <mergeCell ref="B527:G527"/>
    <mergeCell ref="B528:G528"/>
    <mergeCell ref="B529:G529"/>
    <mergeCell ref="B518:G518"/>
    <mergeCell ref="B519:G519"/>
    <mergeCell ref="B520:G520"/>
    <mergeCell ref="B521:G521"/>
    <mergeCell ref="B522:G522"/>
    <mergeCell ref="B523:G523"/>
    <mergeCell ref="B536:G536"/>
    <mergeCell ref="B537:G537"/>
    <mergeCell ref="B538:G538"/>
    <mergeCell ref="B539:G539"/>
    <mergeCell ref="B540:G540"/>
    <mergeCell ref="B541:G541"/>
    <mergeCell ref="B530:G530"/>
    <mergeCell ref="B531:G531"/>
    <mergeCell ref="B532:G532"/>
    <mergeCell ref="B533:G533"/>
    <mergeCell ref="B534:G534"/>
    <mergeCell ref="B535:G535"/>
    <mergeCell ref="B548:G548"/>
    <mergeCell ref="B549:G549"/>
    <mergeCell ref="B550:G550"/>
    <mergeCell ref="B551:G551"/>
    <mergeCell ref="B552:G552"/>
    <mergeCell ref="B553:G553"/>
    <mergeCell ref="B542:G542"/>
    <mergeCell ref="B543:G543"/>
    <mergeCell ref="B544:G544"/>
    <mergeCell ref="B545:G545"/>
    <mergeCell ref="B546:G546"/>
    <mergeCell ref="B547:G547"/>
    <mergeCell ref="B560:G560"/>
    <mergeCell ref="B561:G561"/>
    <mergeCell ref="B562:G562"/>
    <mergeCell ref="B563:G563"/>
    <mergeCell ref="B564:G564"/>
    <mergeCell ref="B565:G565"/>
    <mergeCell ref="B554:G554"/>
    <mergeCell ref="B555:G555"/>
    <mergeCell ref="B556:G556"/>
    <mergeCell ref="B557:G557"/>
    <mergeCell ref="B558:G558"/>
    <mergeCell ref="B559:G559"/>
    <mergeCell ref="B572:G572"/>
    <mergeCell ref="B573:G573"/>
    <mergeCell ref="B574:G574"/>
    <mergeCell ref="B575:G575"/>
    <mergeCell ref="B576:G576"/>
    <mergeCell ref="B577:G577"/>
    <mergeCell ref="B566:G566"/>
    <mergeCell ref="B567:G567"/>
    <mergeCell ref="B568:G568"/>
    <mergeCell ref="B569:G569"/>
    <mergeCell ref="B570:G570"/>
    <mergeCell ref="B571:G571"/>
    <mergeCell ref="B584:G584"/>
    <mergeCell ref="B585:G585"/>
    <mergeCell ref="B586:G586"/>
    <mergeCell ref="B587:G587"/>
    <mergeCell ref="B588:G588"/>
    <mergeCell ref="B589:G589"/>
    <mergeCell ref="B578:G578"/>
    <mergeCell ref="B579:G579"/>
    <mergeCell ref="B580:G580"/>
    <mergeCell ref="B581:G581"/>
    <mergeCell ref="B582:G582"/>
    <mergeCell ref="B583:G583"/>
    <mergeCell ref="B596:G596"/>
    <mergeCell ref="B597:G597"/>
    <mergeCell ref="B598:G598"/>
    <mergeCell ref="B599:G599"/>
    <mergeCell ref="B600:G600"/>
    <mergeCell ref="B601:G601"/>
    <mergeCell ref="B590:G590"/>
    <mergeCell ref="B591:G591"/>
    <mergeCell ref="B592:G592"/>
    <mergeCell ref="B593:G593"/>
    <mergeCell ref="B594:G594"/>
    <mergeCell ref="B595:G595"/>
    <mergeCell ref="B608:G608"/>
    <mergeCell ref="B609:G609"/>
    <mergeCell ref="B610:G610"/>
    <mergeCell ref="B611:G611"/>
    <mergeCell ref="B612:G612"/>
    <mergeCell ref="B613:G613"/>
    <mergeCell ref="B602:G602"/>
    <mergeCell ref="B603:G603"/>
    <mergeCell ref="B604:G604"/>
    <mergeCell ref="B605:G605"/>
    <mergeCell ref="B606:G606"/>
    <mergeCell ref="B607:G607"/>
    <mergeCell ref="B620:G620"/>
    <mergeCell ref="B621:G621"/>
    <mergeCell ref="B622:G622"/>
    <mergeCell ref="B623:G623"/>
    <mergeCell ref="B624:G624"/>
    <mergeCell ref="B625:G625"/>
    <mergeCell ref="B614:G614"/>
    <mergeCell ref="B615:G615"/>
    <mergeCell ref="B616:G616"/>
    <mergeCell ref="B617:G617"/>
    <mergeCell ref="B618:G618"/>
    <mergeCell ref="B619:G619"/>
    <mergeCell ref="B632:G632"/>
    <mergeCell ref="B633:G633"/>
    <mergeCell ref="B634:G634"/>
    <mergeCell ref="B635:G635"/>
    <mergeCell ref="B636:G636"/>
    <mergeCell ref="B637:G637"/>
    <mergeCell ref="B626:G626"/>
    <mergeCell ref="B627:G627"/>
    <mergeCell ref="B628:G628"/>
    <mergeCell ref="B629:G629"/>
    <mergeCell ref="B630:G630"/>
    <mergeCell ref="B631:G631"/>
    <mergeCell ref="B644:G644"/>
    <mergeCell ref="B645:G645"/>
    <mergeCell ref="B646:G646"/>
    <mergeCell ref="B647:G647"/>
    <mergeCell ref="B648:G648"/>
    <mergeCell ref="B649:G649"/>
    <mergeCell ref="B638:G638"/>
    <mergeCell ref="B639:G639"/>
    <mergeCell ref="B640:G640"/>
    <mergeCell ref="B641:G641"/>
    <mergeCell ref="B642:G642"/>
    <mergeCell ref="B643:G643"/>
    <mergeCell ref="B656:G656"/>
    <mergeCell ref="B657:G657"/>
    <mergeCell ref="B658:G658"/>
    <mergeCell ref="B659:G659"/>
    <mergeCell ref="B660:G660"/>
    <mergeCell ref="B661:G661"/>
    <mergeCell ref="B650:G650"/>
    <mergeCell ref="B651:G651"/>
    <mergeCell ref="B652:G652"/>
    <mergeCell ref="B653:G653"/>
    <mergeCell ref="B654:G654"/>
    <mergeCell ref="B655:G655"/>
    <mergeCell ref="B668:G668"/>
    <mergeCell ref="B669:G669"/>
    <mergeCell ref="B670:G670"/>
    <mergeCell ref="B671:G671"/>
    <mergeCell ref="B672:G672"/>
    <mergeCell ref="B673:G673"/>
    <mergeCell ref="B662:G662"/>
    <mergeCell ref="B663:G663"/>
    <mergeCell ref="B664:G664"/>
    <mergeCell ref="B665:G665"/>
    <mergeCell ref="B666:G666"/>
    <mergeCell ref="B667:G667"/>
    <mergeCell ref="B680:G680"/>
    <mergeCell ref="B681:G681"/>
    <mergeCell ref="B682:G682"/>
    <mergeCell ref="B683:G683"/>
    <mergeCell ref="B684:G684"/>
    <mergeCell ref="B685:G685"/>
    <mergeCell ref="B674:G674"/>
    <mergeCell ref="B675:G675"/>
    <mergeCell ref="B676:G676"/>
    <mergeCell ref="B677:G677"/>
    <mergeCell ref="B678:G678"/>
    <mergeCell ref="B679:G679"/>
    <mergeCell ref="B692:G692"/>
    <mergeCell ref="B693:G693"/>
    <mergeCell ref="B694:G694"/>
    <mergeCell ref="B695:G695"/>
    <mergeCell ref="B696:G696"/>
    <mergeCell ref="B697:G697"/>
    <mergeCell ref="B686:G686"/>
    <mergeCell ref="B687:G687"/>
    <mergeCell ref="B688:G688"/>
    <mergeCell ref="B689:G689"/>
    <mergeCell ref="B690:G690"/>
    <mergeCell ref="B691:G691"/>
    <mergeCell ref="B704:G704"/>
    <mergeCell ref="B705:G705"/>
    <mergeCell ref="B706:G706"/>
    <mergeCell ref="B707:G707"/>
    <mergeCell ref="B708:G708"/>
    <mergeCell ref="B709:G709"/>
    <mergeCell ref="B698:G698"/>
    <mergeCell ref="B699:G699"/>
    <mergeCell ref="B700:G700"/>
    <mergeCell ref="B701:G701"/>
    <mergeCell ref="B702:G702"/>
    <mergeCell ref="B703:G703"/>
    <mergeCell ref="B719:G719"/>
    <mergeCell ref="B720:G720"/>
    <mergeCell ref="B721:G721"/>
    <mergeCell ref="B722:G722"/>
    <mergeCell ref="B723:G723"/>
    <mergeCell ref="B724:G724"/>
    <mergeCell ref="B710:G710"/>
    <mergeCell ref="B714:G714"/>
    <mergeCell ref="B715:G715"/>
    <mergeCell ref="B716:G716"/>
    <mergeCell ref="B717:G717"/>
    <mergeCell ref="B718:G718"/>
    <mergeCell ref="B731:G731"/>
    <mergeCell ref="B732:G732"/>
    <mergeCell ref="B733:G733"/>
    <mergeCell ref="B734:G734"/>
    <mergeCell ref="B735:G735"/>
    <mergeCell ref="B736:G736"/>
    <mergeCell ref="B725:G725"/>
    <mergeCell ref="B726:G726"/>
    <mergeCell ref="B727:G727"/>
    <mergeCell ref="B728:G728"/>
    <mergeCell ref="B729:G729"/>
    <mergeCell ref="B730:G730"/>
    <mergeCell ref="B745:G745"/>
    <mergeCell ref="B746:G746"/>
    <mergeCell ref="B747:G747"/>
    <mergeCell ref="B748:G748"/>
    <mergeCell ref="B749:G749"/>
    <mergeCell ref="B750:G750"/>
    <mergeCell ref="B737:G737"/>
    <mergeCell ref="B738:G738"/>
    <mergeCell ref="B739:G739"/>
    <mergeCell ref="B740:G740"/>
    <mergeCell ref="B743:G743"/>
    <mergeCell ref="B744:G744"/>
    <mergeCell ref="B757:G757"/>
    <mergeCell ref="B758:G758"/>
    <mergeCell ref="B759:G759"/>
    <mergeCell ref="B760:G760"/>
    <mergeCell ref="B761:G761"/>
    <mergeCell ref="O761:O763"/>
    <mergeCell ref="B762:G762"/>
    <mergeCell ref="B763:G763"/>
    <mergeCell ref="B751:G751"/>
    <mergeCell ref="B752:G752"/>
    <mergeCell ref="B753:G753"/>
    <mergeCell ref="B754:G754"/>
    <mergeCell ref="B755:G755"/>
    <mergeCell ref="B756:G756"/>
    <mergeCell ref="B770:G770"/>
    <mergeCell ref="B771:G771"/>
    <mergeCell ref="B772:G772"/>
    <mergeCell ref="B773:G773"/>
    <mergeCell ref="B774:G774"/>
    <mergeCell ref="B775:G775"/>
    <mergeCell ref="B764:G764"/>
    <mergeCell ref="B765:G765"/>
    <mergeCell ref="B766:G766"/>
    <mergeCell ref="B767:G767"/>
    <mergeCell ref="B768:G768"/>
    <mergeCell ref="B769:G769"/>
    <mergeCell ref="B782:G782"/>
    <mergeCell ref="B783:G783"/>
    <mergeCell ref="B784:G784"/>
    <mergeCell ref="B785:G785"/>
    <mergeCell ref="B786:G786"/>
    <mergeCell ref="B787:G787"/>
    <mergeCell ref="B776:G776"/>
    <mergeCell ref="B777:G777"/>
    <mergeCell ref="B778:G778"/>
    <mergeCell ref="B779:G779"/>
    <mergeCell ref="B780:G780"/>
    <mergeCell ref="B781:G781"/>
    <mergeCell ref="B794:G794"/>
    <mergeCell ref="B795:G795"/>
    <mergeCell ref="B796:G796"/>
    <mergeCell ref="B797:G797"/>
    <mergeCell ref="B798:G798"/>
    <mergeCell ref="B799:G799"/>
    <mergeCell ref="B788:G788"/>
    <mergeCell ref="B789:G789"/>
    <mergeCell ref="B790:G790"/>
    <mergeCell ref="B791:G791"/>
    <mergeCell ref="B792:G792"/>
    <mergeCell ref="B793:G793"/>
    <mergeCell ref="B806:G806"/>
    <mergeCell ref="B807:G807"/>
    <mergeCell ref="B808:G808"/>
    <mergeCell ref="B809:G809"/>
    <mergeCell ref="B810:G810"/>
    <mergeCell ref="B811:G811"/>
    <mergeCell ref="B800:G800"/>
    <mergeCell ref="B801:G801"/>
    <mergeCell ref="B802:G802"/>
    <mergeCell ref="B803:G803"/>
    <mergeCell ref="B804:G804"/>
    <mergeCell ref="B805:G805"/>
    <mergeCell ref="B818:G818"/>
    <mergeCell ref="B819:G819"/>
    <mergeCell ref="B820:G820"/>
    <mergeCell ref="B821:G821"/>
    <mergeCell ref="B822:G822"/>
    <mergeCell ref="B823:G823"/>
    <mergeCell ref="B812:G812"/>
    <mergeCell ref="B813:G813"/>
    <mergeCell ref="B814:G814"/>
    <mergeCell ref="B815:G815"/>
    <mergeCell ref="B816:G816"/>
    <mergeCell ref="B817:G817"/>
    <mergeCell ref="B836:G836"/>
    <mergeCell ref="B830:G830"/>
    <mergeCell ref="B831:G831"/>
    <mergeCell ref="B832:G832"/>
    <mergeCell ref="B833:G833"/>
    <mergeCell ref="B834:G834"/>
    <mergeCell ref="B835:G835"/>
    <mergeCell ref="B824:G824"/>
    <mergeCell ref="B825:G825"/>
    <mergeCell ref="B826:G826"/>
    <mergeCell ref="B827:G827"/>
    <mergeCell ref="B828:G828"/>
    <mergeCell ref="B829:G829"/>
  </mergeCells>
  <dataValidations count="3">
    <dataValidation type="list" allowBlank="1" showInputMessage="1" showErrorMessage="1" sqref="I512">
      <formula1>"1,2"</formula1>
    </dataValidation>
    <dataValidation type="list" allowBlank="1" showInputMessage="1" showErrorMessage="1" sqref="I513">
      <formula1>"A,B,C"</formula1>
    </dataValidation>
    <dataValidation type="list" allowBlank="1" showInputMessage="1" showErrorMessage="1" sqref="I236">
      <formula1>"YES,NO"</formula1>
    </dataValidation>
  </dataValidations>
  <printOptions gridLinesSet="0"/>
  <pageMargins left="0.59055118110236227" right="0.59055118110236227" top="0.78740157480314965" bottom="0.39370078740157483" header="0.31496062992125984" footer="0.31496062992125984"/>
  <pageSetup paperSize="9" scale="50" fitToHeight="3" pageOrder="overThenDown" orientation="portrait" r:id="rId1"/>
  <headerFooter alignWithMargins="0">
    <oddFooter>&amp;L&amp;"Arial,Fett"SNB Confidential&amp;C&amp;D&amp;RPage &amp;P</oddFooter>
  </headerFooter>
  <rowBreaks count="17" manualBreakCount="17">
    <brk id="40" max="9" man="1"/>
    <brk id="74" max="9" man="1"/>
    <brk id="98" max="9" man="1"/>
    <brk id="142" max="9" man="1"/>
    <brk id="201" max="9" man="1"/>
    <brk id="263" max="9" man="1"/>
    <brk id="330" max="9" man="1"/>
    <brk id="362" max="9" man="1"/>
    <brk id="387" max="9" man="1"/>
    <brk id="443" max="9" man="1"/>
    <brk id="499" max="9" man="1"/>
    <brk id="557" max="9" man="1"/>
    <brk id="578" max="9" man="1"/>
    <brk id="630" max="9" man="1"/>
    <brk id="649" max="9" man="1"/>
    <brk id="721" max="9" man="1"/>
    <brk id="783"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F55"/>
  <sheetViews>
    <sheetView showGridLines="0" showRowColHeaders="0" showZeros="0" zoomScale="80" zoomScaleNormal="80" workbookViewId="0">
      <pane xSplit="3" ySplit="13" topLeftCell="D14" activePane="bottomRight" state="frozen"/>
      <selection activeCell="K50" sqref="K50"/>
      <selection pane="topRight" activeCell="K50" sqref="K50"/>
      <selection pane="bottomLeft" activeCell="K50" sqref="K50"/>
      <selection pane="bottomRight" activeCell="L14" sqref="L14"/>
    </sheetView>
  </sheetViews>
  <sheetFormatPr baseColWidth="10" defaultColWidth="11.42578125" defaultRowHeight="12.75"/>
  <cols>
    <col min="1" max="1" width="8.42578125" style="4" customWidth="1"/>
    <col min="2" max="2" width="39.28515625" style="4" customWidth="1"/>
    <col min="3" max="3" width="4.7109375" style="4" customWidth="1"/>
    <col min="4" max="6" width="20.28515625" style="4" customWidth="1"/>
    <col min="7" max="7" width="15.7109375" style="4" customWidth="1"/>
    <col min="8" max="8" width="16.28515625" style="4" customWidth="1"/>
    <col min="9" max="9" width="15.7109375" style="4" customWidth="1"/>
    <col min="10" max="10" width="17.5703125" style="4" customWidth="1"/>
    <col min="11" max="11" width="24.85546875" style="4" customWidth="1"/>
    <col min="12" max="16" width="17.7109375" style="4" customWidth="1"/>
    <col min="17" max="20" width="20.28515625" style="4" customWidth="1"/>
    <col min="21" max="21" width="24.85546875" style="4" customWidth="1"/>
    <col min="22" max="22" width="4.7109375" style="4" customWidth="1"/>
    <col min="23" max="25" width="11.42578125" style="4" customWidth="1"/>
    <col min="26" max="26" width="21.5703125" style="4" customWidth="1"/>
    <col min="27" max="30" width="11.42578125" style="4" customWidth="1"/>
    <col min="31" max="31" width="21.5703125" style="4" customWidth="1"/>
    <col min="32" max="16384" width="11.42578125" style="4"/>
  </cols>
  <sheetData>
    <row r="1" spans="1:31" ht="20.25" customHeight="1">
      <c r="A1" s="6"/>
      <c r="B1" s="6"/>
      <c r="C1" s="6"/>
      <c r="E1" s="669" t="s">
        <v>621</v>
      </c>
      <c r="F1" s="669"/>
      <c r="G1" s="669"/>
      <c r="H1" s="669"/>
      <c r="I1" s="669"/>
      <c r="J1" s="126" t="s">
        <v>61</v>
      </c>
      <c r="K1" s="305" t="s">
        <v>603</v>
      </c>
      <c r="L1" s="11"/>
      <c r="M1" s="12" t="s">
        <v>46</v>
      </c>
      <c r="N1" s="11"/>
      <c r="O1" s="11"/>
      <c r="P1" s="11"/>
      <c r="Q1" s="11"/>
      <c r="R1" s="11"/>
      <c r="S1" s="11"/>
      <c r="T1" s="126" t="s">
        <v>61</v>
      </c>
      <c r="U1" s="305" t="str">
        <f>K1</f>
        <v>CSIB_CRSABIS_01</v>
      </c>
      <c r="V1" s="11"/>
    </row>
    <row r="2" spans="1:31" ht="20.25" customHeight="1">
      <c r="A2" s="6"/>
      <c r="B2" s="11"/>
      <c r="C2" s="6"/>
      <c r="E2" s="669" t="s">
        <v>620</v>
      </c>
      <c r="F2" s="669"/>
      <c r="G2" s="669"/>
      <c r="H2" s="669"/>
      <c r="I2" s="669"/>
      <c r="J2" s="126" t="s">
        <v>1224</v>
      </c>
      <c r="K2" s="300" t="str">
        <f>'Delivery note'!H3</f>
        <v>XXXXXX</v>
      </c>
      <c r="L2" s="11"/>
      <c r="M2" s="669" t="s">
        <v>620</v>
      </c>
      <c r="N2" s="669"/>
      <c r="O2" s="669"/>
      <c r="P2" s="669"/>
      <c r="Q2" s="669"/>
      <c r="R2" s="11"/>
      <c r="S2" s="11"/>
      <c r="T2" s="126" t="s">
        <v>1224</v>
      </c>
      <c r="U2" s="300" t="str">
        <f>K2</f>
        <v>XXXXXX</v>
      </c>
      <c r="V2" s="11"/>
    </row>
    <row r="3" spans="1:31" ht="20.25" customHeight="1">
      <c r="A3" s="6"/>
      <c r="B3" s="11"/>
      <c r="C3" s="6"/>
      <c r="E3" s="144" t="s">
        <v>601</v>
      </c>
      <c r="G3" s="11"/>
      <c r="I3" s="85"/>
      <c r="J3" s="126" t="s">
        <v>546</v>
      </c>
      <c r="K3" s="306" t="str">
        <f>'Delivery note'!H4</f>
        <v>DD.MM.YYYY</v>
      </c>
      <c r="L3" s="11"/>
      <c r="M3" s="144" t="s">
        <v>601</v>
      </c>
      <c r="N3" s="6"/>
      <c r="O3" s="11"/>
      <c r="P3" s="11"/>
      <c r="Q3" s="11"/>
      <c r="R3" s="11"/>
      <c r="S3" s="11"/>
      <c r="T3" s="126" t="s">
        <v>546</v>
      </c>
      <c r="U3" s="306" t="str">
        <f>K3</f>
        <v>DD.MM.YYYY</v>
      </c>
      <c r="V3" s="11"/>
    </row>
    <row r="4" spans="1:31" ht="20.100000000000001" customHeight="1">
      <c r="A4" s="6"/>
      <c r="B4" s="11"/>
      <c r="C4" s="6"/>
      <c r="E4" s="145" t="s">
        <v>54</v>
      </c>
      <c r="H4" s="11"/>
      <c r="I4" s="85"/>
      <c r="J4" s="48"/>
      <c r="K4" s="116"/>
      <c r="L4" s="11"/>
      <c r="M4" s="145" t="s">
        <v>54</v>
      </c>
      <c r="N4" s="11"/>
      <c r="O4" s="11"/>
      <c r="P4" s="11"/>
      <c r="Q4" s="11"/>
      <c r="R4" s="11"/>
      <c r="S4" s="11"/>
      <c r="T4" s="11"/>
      <c r="U4" s="11"/>
      <c r="V4" s="11"/>
    </row>
    <row r="5" spans="1:31" ht="20.100000000000001" customHeight="1">
      <c r="A5" s="6"/>
      <c r="B5" s="11"/>
      <c r="C5" s="6"/>
      <c r="E5" s="146" t="s">
        <v>134</v>
      </c>
      <c r="F5" s="11"/>
      <c r="G5" s="11"/>
      <c r="H5" s="11"/>
      <c r="I5" s="11"/>
      <c r="J5" s="11"/>
      <c r="K5" s="11"/>
      <c r="L5" s="11"/>
      <c r="M5" s="146" t="s">
        <v>134</v>
      </c>
      <c r="N5" s="11"/>
      <c r="O5" s="11"/>
      <c r="P5" s="11"/>
      <c r="Q5" s="11"/>
      <c r="R5" s="11"/>
      <c r="S5" s="11"/>
      <c r="T5" s="11"/>
      <c r="U5" s="11"/>
      <c r="V5" s="11"/>
    </row>
    <row r="6" spans="1:31" ht="20.100000000000001" customHeight="1">
      <c r="A6" s="6"/>
      <c r="B6" s="11"/>
      <c r="C6" s="6"/>
      <c r="D6" s="6"/>
      <c r="E6" s="4" t="s">
        <v>6</v>
      </c>
      <c r="M6" s="4" t="s">
        <v>6</v>
      </c>
    </row>
    <row r="7" spans="1:31" ht="20.100000000000001" customHeight="1">
      <c r="A7" s="8"/>
      <c r="B7" s="11"/>
      <c r="C7" s="8"/>
      <c r="D7" s="8"/>
      <c r="F7" s="11"/>
      <c r="G7" s="11"/>
      <c r="H7" s="11"/>
      <c r="I7" s="11"/>
      <c r="J7" s="49"/>
      <c r="K7" s="49"/>
      <c r="L7" s="11"/>
      <c r="N7" s="49"/>
      <c r="O7" s="11"/>
      <c r="P7" s="11"/>
      <c r="Q7" s="11"/>
      <c r="R7" s="11"/>
      <c r="S7" s="11"/>
      <c r="T7" s="11"/>
      <c r="U7" s="11"/>
      <c r="V7" s="49"/>
    </row>
    <row r="8" spans="1:31" ht="14.25" customHeight="1">
      <c r="A8" s="161"/>
      <c r="B8" s="41"/>
      <c r="C8" s="151"/>
      <c r="D8" s="28" t="s">
        <v>8</v>
      </c>
      <c r="E8" s="28" t="s">
        <v>15</v>
      </c>
      <c r="F8" s="47" t="s">
        <v>19</v>
      </c>
      <c r="G8" s="34" t="s">
        <v>55</v>
      </c>
      <c r="H8" s="42"/>
      <c r="I8" s="42"/>
      <c r="J8" s="62"/>
      <c r="K8" s="35" t="s">
        <v>19</v>
      </c>
      <c r="L8" s="42" t="s">
        <v>26</v>
      </c>
      <c r="M8" s="38"/>
      <c r="N8" s="38"/>
      <c r="O8" s="38"/>
      <c r="P8" s="35"/>
      <c r="Q8" s="30" t="s">
        <v>33</v>
      </c>
      <c r="R8" s="30" t="s">
        <v>37</v>
      </c>
      <c r="S8" s="30" t="s">
        <v>42</v>
      </c>
      <c r="T8" s="46" t="s">
        <v>44</v>
      </c>
      <c r="U8" s="30" t="s">
        <v>13</v>
      </c>
      <c r="V8" s="151"/>
      <c r="W8" s="22"/>
      <c r="X8" s="22"/>
      <c r="Y8" s="6"/>
      <c r="Z8" s="6"/>
    </row>
    <row r="9" spans="1:31" ht="14.25" customHeight="1">
      <c r="A9" s="162"/>
      <c r="B9" s="12"/>
      <c r="C9" s="152"/>
      <c r="D9" s="29" t="s">
        <v>9</v>
      </c>
      <c r="E9" s="29" t="s">
        <v>16</v>
      </c>
      <c r="F9" s="44" t="s">
        <v>20</v>
      </c>
      <c r="G9" s="63" t="s">
        <v>56</v>
      </c>
      <c r="H9" s="64"/>
      <c r="I9" s="64"/>
      <c r="J9" s="43"/>
      <c r="K9" s="43" t="s">
        <v>20</v>
      </c>
      <c r="L9" s="33"/>
      <c r="M9" s="33"/>
      <c r="N9" s="33"/>
      <c r="O9" s="40"/>
      <c r="P9" s="37"/>
      <c r="Q9" s="32" t="s">
        <v>34</v>
      </c>
      <c r="R9" s="32" t="s">
        <v>38</v>
      </c>
      <c r="S9" s="32" t="s">
        <v>43</v>
      </c>
      <c r="T9" s="29" t="s">
        <v>45</v>
      </c>
      <c r="U9" s="29" t="s">
        <v>14</v>
      </c>
      <c r="V9" s="152"/>
      <c r="W9" s="22"/>
      <c r="X9" s="22"/>
      <c r="Y9" s="6"/>
      <c r="Z9" s="6"/>
    </row>
    <row r="10" spans="1:31" ht="14.25" customHeight="1">
      <c r="A10" s="162"/>
      <c r="B10" s="12"/>
      <c r="C10" s="152"/>
      <c r="D10" s="29" t="s">
        <v>7</v>
      </c>
      <c r="E10" s="29" t="s">
        <v>17</v>
      </c>
      <c r="F10" s="44" t="s">
        <v>21</v>
      </c>
      <c r="G10" s="63"/>
      <c r="H10" s="65"/>
      <c r="I10" s="65"/>
      <c r="J10" s="66"/>
      <c r="K10" s="43" t="s">
        <v>24</v>
      </c>
      <c r="L10" s="42" t="s">
        <v>27</v>
      </c>
      <c r="M10" s="35"/>
      <c r="N10" s="43" t="s">
        <v>30</v>
      </c>
      <c r="O10" s="34" t="s">
        <v>11</v>
      </c>
      <c r="P10" s="35"/>
      <c r="Q10" s="32" t="s">
        <v>35</v>
      </c>
      <c r="R10" s="32" t="s">
        <v>39</v>
      </c>
      <c r="S10" s="32" t="s">
        <v>119</v>
      </c>
      <c r="T10" s="32"/>
      <c r="U10" s="32" t="s">
        <v>58</v>
      </c>
      <c r="V10" s="152"/>
      <c r="W10" s="22"/>
      <c r="X10" s="22"/>
      <c r="Y10" s="6"/>
      <c r="Z10" s="6"/>
    </row>
    <row r="11" spans="1:31" ht="14.25" customHeight="1">
      <c r="A11" s="162"/>
      <c r="B11" s="12"/>
      <c r="C11" s="152"/>
      <c r="D11" s="29"/>
      <c r="E11" s="29" t="s">
        <v>18</v>
      </c>
      <c r="F11" s="44" t="s">
        <v>22</v>
      </c>
      <c r="G11" s="36"/>
      <c r="H11" s="40"/>
      <c r="I11" s="45"/>
      <c r="J11" s="37"/>
      <c r="K11" s="43" t="s">
        <v>25</v>
      </c>
      <c r="L11" s="45" t="s">
        <v>28</v>
      </c>
      <c r="M11" s="37"/>
      <c r="N11" s="37" t="s">
        <v>12</v>
      </c>
      <c r="O11" s="39" t="s">
        <v>10</v>
      </c>
      <c r="P11" s="37"/>
      <c r="Q11" s="32" t="s">
        <v>36</v>
      </c>
      <c r="R11" s="32" t="s">
        <v>40</v>
      </c>
      <c r="T11" s="32"/>
      <c r="U11" s="32" t="s">
        <v>162</v>
      </c>
      <c r="V11" s="152"/>
      <c r="W11" s="22"/>
      <c r="X11" s="22"/>
      <c r="Y11" s="6"/>
      <c r="Z11" s="6"/>
    </row>
    <row r="12" spans="1:31" ht="68.25" customHeight="1">
      <c r="A12" s="6"/>
      <c r="B12" s="6"/>
      <c r="C12" s="152"/>
      <c r="D12" s="32"/>
      <c r="E12" s="32" t="s">
        <v>160</v>
      </c>
      <c r="F12" s="44" t="s">
        <v>23</v>
      </c>
      <c r="G12" s="174" t="s">
        <v>5</v>
      </c>
      <c r="H12" s="175">
        <v>0.2</v>
      </c>
      <c r="I12" s="176">
        <v>0.5</v>
      </c>
      <c r="J12" s="175">
        <v>1</v>
      </c>
      <c r="K12" s="43" t="s">
        <v>60</v>
      </c>
      <c r="L12" s="177" t="s">
        <v>1</v>
      </c>
      <c r="M12" s="178" t="s">
        <v>29</v>
      </c>
      <c r="N12" s="178" t="s">
        <v>31</v>
      </c>
      <c r="O12" s="32" t="s">
        <v>161</v>
      </c>
      <c r="P12" s="32" t="s">
        <v>32</v>
      </c>
      <c r="Q12" s="32" t="s">
        <v>57</v>
      </c>
      <c r="R12" s="32" t="s">
        <v>41</v>
      </c>
      <c r="S12" s="32"/>
      <c r="T12" s="32"/>
      <c r="U12" s="32"/>
      <c r="V12" s="152"/>
      <c r="W12" s="9"/>
      <c r="X12" s="9"/>
      <c r="Y12" s="9"/>
      <c r="Z12" s="9"/>
    </row>
    <row r="13" spans="1:31" ht="20.100000000000001" customHeight="1">
      <c r="A13" s="11"/>
      <c r="B13" s="49"/>
      <c r="C13" s="153"/>
      <c r="D13" s="179" t="s">
        <v>95</v>
      </c>
      <c r="E13" s="179" t="s">
        <v>96</v>
      </c>
      <c r="F13" s="179" t="s">
        <v>97</v>
      </c>
      <c r="G13" s="179" t="s">
        <v>98</v>
      </c>
      <c r="H13" s="179" t="s">
        <v>99</v>
      </c>
      <c r="I13" s="179" t="s">
        <v>100</v>
      </c>
      <c r="J13" s="179" t="s">
        <v>101</v>
      </c>
      <c r="K13" s="179" t="s">
        <v>102</v>
      </c>
      <c r="L13" s="179" t="s">
        <v>103</v>
      </c>
      <c r="M13" s="179" t="s">
        <v>104</v>
      </c>
      <c r="N13" s="179" t="s">
        <v>105</v>
      </c>
      <c r="O13" s="179" t="s">
        <v>106</v>
      </c>
      <c r="P13" s="179" t="s">
        <v>107</v>
      </c>
      <c r="Q13" s="179" t="s">
        <v>108</v>
      </c>
      <c r="R13" s="179" t="s">
        <v>109</v>
      </c>
      <c r="S13" s="179" t="s">
        <v>110</v>
      </c>
      <c r="T13" s="179" t="s">
        <v>111</v>
      </c>
      <c r="U13" s="179" t="s">
        <v>112</v>
      </c>
      <c r="V13" s="153"/>
      <c r="X13" s="6" t="s">
        <v>131</v>
      </c>
      <c r="Y13" s="6" t="s">
        <v>132</v>
      </c>
      <c r="Z13" s="6" t="s">
        <v>133</v>
      </c>
      <c r="AA13" s="6" t="s">
        <v>113</v>
      </c>
      <c r="AB13" s="6" t="s">
        <v>114</v>
      </c>
      <c r="AC13" s="6" t="s">
        <v>117</v>
      </c>
      <c r="AD13" s="6" t="s">
        <v>115</v>
      </c>
      <c r="AE13" s="6" t="s">
        <v>118</v>
      </c>
    </row>
    <row r="14" spans="1:31" ht="20.100000000000001" customHeight="1" thickBot="1">
      <c r="A14" s="185"/>
      <c r="B14" s="154" t="s">
        <v>2</v>
      </c>
      <c r="C14" s="114">
        <v>1</v>
      </c>
      <c r="D14" s="27">
        <f>SUM(D19:D21,D23:D24,D26,D28,D32,D34)</f>
        <v>0</v>
      </c>
      <c r="E14" s="279">
        <f>SUM(E19:E21,E23:E24,E26,E28,E32,E34)</f>
        <v>0</v>
      </c>
      <c r="F14" s="27">
        <f>D14+E14</f>
        <v>0</v>
      </c>
      <c r="G14" s="279">
        <f>SUM(G19:G21,G23:G24,G26,G28,G32,G34)</f>
        <v>0</v>
      </c>
      <c r="H14" s="279">
        <f>SUM(H19:H21,H23:H24,H26,H28,H32,H34)</f>
        <v>0</v>
      </c>
      <c r="I14" s="279">
        <f>SUM(I19:I21,I23:I24,I26,I28,I32,I34)</f>
        <v>0</v>
      </c>
      <c r="J14" s="279">
        <f>SUM(J19:J21,J23:J24,J26,J28,J32,J34)</f>
        <v>0</v>
      </c>
      <c r="K14" s="51">
        <f>F14-G14-0.8*H14-0.5*I14</f>
        <v>0</v>
      </c>
      <c r="L14" s="50"/>
      <c r="M14" s="14"/>
      <c r="N14" s="25"/>
      <c r="O14" s="27">
        <f>(L14+M14+N14)*-1</f>
        <v>0</v>
      </c>
      <c r="P14" s="14"/>
      <c r="Q14" s="279">
        <f>SUM(Q19:Q21,Q23:Q24,Q26,Q28,Q32,Q34)</f>
        <v>0</v>
      </c>
      <c r="R14" s="14"/>
      <c r="S14" s="279">
        <f>SUM(S19:S21,S23:S24,S26,S28,S32,S34)</f>
        <v>0</v>
      </c>
      <c r="T14" s="279">
        <f>SUM(T19:T21,T23:T24,T26,T28,T32,T34)</f>
        <v>0</v>
      </c>
      <c r="U14" s="27">
        <f>T14*0.08</f>
        <v>0</v>
      </c>
      <c r="V14" s="114">
        <v>1</v>
      </c>
      <c r="W14" s="15"/>
      <c r="X14" s="180" t="str">
        <f>IF(D14&gt;=0,"OK","ERROR")</f>
        <v>OK</v>
      </c>
      <c r="Y14" s="180" t="str">
        <f>IF(E14&lt;=0,"OK","ERROR")</f>
        <v>OK</v>
      </c>
      <c r="Z14" s="180" t="str">
        <f>IF(MIN(F14:N14)&gt;=0,"OK","ERROR")</f>
        <v>OK</v>
      </c>
      <c r="AA14" s="180" t="str">
        <f>IF(O14&lt;=0,"OK","ERROR")</f>
        <v>OK</v>
      </c>
      <c r="AB14" s="180" t="str">
        <f>IF(P14&gt;=0,"OK","ERROR")</f>
        <v>OK</v>
      </c>
      <c r="AC14" s="180" t="str">
        <f>IF(Q14&gt;=0,"OK","ERROR")</f>
        <v>OK</v>
      </c>
      <c r="AD14" s="180" t="str">
        <f>IF(R14&lt;=0,"OK","ERROR")</f>
        <v>OK</v>
      </c>
      <c r="AE14" s="180" t="str">
        <f>IF(MIN(S14:U14)&gt;=0,"OK","ERROR")</f>
        <v>OK</v>
      </c>
    </row>
    <row r="15" spans="1:31" ht="30" customHeight="1" thickTop="1">
      <c r="A15" s="163"/>
      <c r="B15" s="155" t="s">
        <v>116</v>
      </c>
      <c r="C15" s="114"/>
      <c r="D15" s="143"/>
      <c r="E15" s="143"/>
      <c r="F15" s="143"/>
      <c r="G15" s="143"/>
      <c r="H15" s="143"/>
      <c r="I15" s="143"/>
      <c r="J15" s="143"/>
      <c r="K15" s="143"/>
      <c r="L15" s="143"/>
      <c r="M15" s="143"/>
      <c r="N15" s="143"/>
      <c r="O15" s="143"/>
      <c r="P15" s="143"/>
      <c r="Q15" s="143"/>
      <c r="R15" s="143"/>
      <c r="S15" s="143"/>
      <c r="T15" s="143"/>
      <c r="U15" s="143"/>
      <c r="V15" s="114"/>
      <c r="W15" s="147"/>
      <c r="X15" s="148"/>
      <c r="Y15" s="148"/>
      <c r="Z15" s="148"/>
      <c r="AA15" s="6"/>
      <c r="AB15" s="139"/>
      <c r="AC15" s="6"/>
      <c r="AD15" s="6"/>
      <c r="AE15" s="140"/>
    </row>
    <row r="16" spans="1:31" ht="20.100000000000001" customHeight="1" thickBot="1">
      <c r="A16" s="163"/>
      <c r="B16" s="156" t="s">
        <v>3</v>
      </c>
      <c r="C16" s="114">
        <v>2</v>
      </c>
      <c r="D16" s="14"/>
      <c r="E16" s="14"/>
      <c r="F16" s="27">
        <f>D16+E16</f>
        <v>0</v>
      </c>
      <c r="G16" s="13"/>
      <c r="H16" s="13"/>
      <c r="I16" s="13"/>
      <c r="J16" s="26"/>
      <c r="K16" s="52">
        <f>F16</f>
        <v>0</v>
      </c>
      <c r="L16" s="23"/>
      <c r="M16" s="13"/>
      <c r="N16" s="13"/>
      <c r="O16" s="13"/>
      <c r="P16" s="13"/>
      <c r="Q16" s="14"/>
      <c r="R16" s="13"/>
      <c r="S16" s="14"/>
      <c r="T16" s="14"/>
      <c r="U16" s="27">
        <f>T16*0.08</f>
        <v>0</v>
      </c>
      <c r="V16" s="114">
        <v>2</v>
      </c>
      <c r="W16" s="15"/>
      <c r="X16" s="115" t="str">
        <f>IF(D16&gt;=0,"OK","ERROR")</f>
        <v>OK</v>
      </c>
      <c r="Y16" s="115" t="str">
        <f>IF(E16&lt;=0,"OK","ERROR")</f>
        <v>OK</v>
      </c>
      <c r="Z16" s="115" t="str">
        <f>IF(MIN(F16:N16)&gt;=0,"OK","ERROR")</f>
        <v>OK</v>
      </c>
      <c r="AA16" s="6"/>
      <c r="AB16" s="6"/>
      <c r="AC16" s="115" t="str">
        <f>IF(Q16&gt;=0,"OK","ERROR")</f>
        <v>OK</v>
      </c>
      <c r="AD16" s="6"/>
      <c r="AE16" s="115" t="str">
        <f>IF(MIN(S16:U16)&gt;=0,"OK","ERROR")</f>
        <v>OK</v>
      </c>
    </row>
    <row r="17" spans="1:32" ht="20.100000000000001" customHeight="1" thickTop="1" thickBot="1">
      <c r="A17" s="163"/>
      <c r="B17" s="156" t="s">
        <v>4</v>
      </c>
      <c r="C17" s="114">
        <v>3</v>
      </c>
      <c r="D17" s="14"/>
      <c r="E17" s="14"/>
      <c r="F17" s="27">
        <f>D17+E17</f>
        <v>0</v>
      </c>
      <c r="G17" s="14"/>
      <c r="H17" s="14"/>
      <c r="I17" s="14"/>
      <c r="J17" s="25"/>
      <c r="K17" s="52">
        <f>F17-G17-0.8*H17-0.5*I17</f>
        <v>0</v>
      </c>
      <c r="L17" s="23"/>
      <c r="M17" s="13"/>
      <c r="N17" s="13"/>
      <c r="O17" s="13"/>
      <c r="P17" s="13"/>
      <c r="Q17" s="14"/>
      <c r="R17" s="13"/>
      <c r="S17" s="14"/>
      <c r="T17" s="14"/>
      <c r="U17" s="27">
        <f>T17*0.08</f>
        <v>0</v>
      </c>
      <c r="V17" s="114">
        <v>3</v>
      </c>
      <c r="W17" s="15"/>
      <c r="X17" s="115" t="str">
        <f>IF(D17&gt;=0,"OK","ERROR")</f>
        <v>OK</v>
      </c>
      <c r="Y17" s="115" t="str">
        <f>IF(E17&lt;=0,"OK","ERROR")</f>
        <v>OK</v>
      </c>
      <c r="Z17" s="115" t="str">
        <f>IF(MIN(F17:N17)&gt;=0,"OK","ERROR")</f>
        <v>OK</v>
      </c>
      <c r="AA17" s="6"/>
      <c r="AB17" s="6"/>
      <c r="AC17" s="115" t="str">
        <f>IF(Q17&gt;=0,"OK","ERROR")</f>
        <v>OK</v>
      </c>
      <c r="AD17" s="6"/>
      <c r="AE17" s="115" t="str">
        <f>IF(MIN(S17:U17)&gt;=0,"OK","ERROR")</f>
        <v>OK</v>
      </c>
    </row>
    <row r="18" spans="1:32" ht="44.25" customHeight="1" thickTop="1">
      <c r="A18" s="163"/>
      <c r="B18" s="155" t="s">
        <v>47</v>
      </c>
      <c r="C18" s="114"/>
      <c r="D18" s="143"/>
      <c r="E18" s="143"/>
      <c r="F18" s="143"/>
      <c r="G18" s="143"/>
      <c r="H18" s="143"/>
      <c r="I18" s="143"/>
      <c r="J18" s="143"/>
      <c r="K18" s="143"/>
      <c r="L18" s="143"/>
      <c r="M18" s="143"/>
      <c r="N18" s="143"/>
      <c r="O18" s="143"/>
      <c r="P18" s="143"/>
      <c r="Q18" s="143"/>
      <c r="R18" s="143"/>
      <c r="S18" s="143"/>
      <c r="T18" s="143"/>
      <c r="U18" s="143"/>
      <c r="V18" s="114"/>
      <c r="W18" s="147"/>
      <c r="X18" s="149"/>
      <c r="Y18" s="142"/>
      <c r="Z18" s="150"/>
      <c r="AA18" s="6"/>
      <c r="AB18" s="6"/>
      <c r="AC18" s="6"/>
      <c r="AD18" s="6"/>
      <c r="AE18" s="6"/>
      <c r="AF18" s="6"/>
    </row>
    <row r="19" spans="1:32" ht="20.100000000000001" customHeight="1" thickBot="1">
      <c r="A19" s="163"/>
      <c r="B19" s="157" t="s">
        <v>5</v>
      </c>
      <c r="C19" s="114">
        <v>4</v>
      </c>
      <c r="D19" s="14"/>
      <c r="E19" s="14"/>
      <c r="F19" s="27">
        <f t="shared" ref="F19:F34" si="0">D19+E19</f>
        <v>0</v>
      </c>
      <c r="G19" s="14"/>
      <c r="H19" s="14"/>
      <c r="I19" s="14"/>
      <c r="J19" s="25"/>
      <c r="K19" s="52">
        <f t="shared" ref="K19:K34" si="1">F19-G19-0.8*H19-0.5*I19</f>
        <v>0</v>
      </c>
      <c r="L19" s="23"/>
      <c r="M19" s="13"/>
      <c r="N19" s="13"/>
      <c r="O19" s="13"/>
      <c r="P19" s="13"/>
      <c r="Q19" s="14"/>
      <c r="R19" s="13"/>
      <c r="S19" s="14"/>
      <c r="T19" s="13"/>
      <c r="U19" s="13"/>
      <c r="V19" s="114">
        <v>4</v>
      </c>
      <c r="W19" s="15"/>
      <c r="X19" s="115" t="str">
        <f t="shared" ref="X19:X34" si="2">IF(D19&gt;=0,"OK","ERROR")</f>
        <v>OK</v>
      </c>
      <c r="Y19" s="115" t="str">
        <f t="shared" ref="Y19:Y34" si="3">IF(E19&lt;=0,"OK","ERROR")</f>
        <v>OK</v>
      </c>
      <c r="Z19" s="115" t="str">
        <f t="shared" ref="Z19:Z34" si="4">IF(MIN(F19:N19)&gt;=0,"OK","ERROR")</f>
        <v>OK</v>
      </c>
      <c r="AA19" s="6"/>
      <c r="AB19" s="6"/>
      <c r="AC19" s="115" t="str">
        <f t="shared" ref="AC19:AC34" si="5">IF(Q19&gt;=0,"OK","ERROR")</f>
        <v>OK</v>
      </c>
      <c r="AD19" s="6"/>
      <c r="AE19" s="115" t="str">
        <f t="shared" ref="AE19:AE34" si="6">IF(MIN(S19:U19)&gt;=0,"OK","ERROR")</f>
        <v>OK</v>
      </c>
    </row>
    <row r="20" spans="1:32" ht="20.100000000000001" customHeight="1" thickTop="1" thickBot="1">
      <c r="A20" s="163"/>
      <c r="B20" s="158">
        <v>0.1</v>
      </c>
      <c r="C20" s="280">
        <v>19</v>
      </c>
      <c r="D20" s="14"/>
      <c r="E20" s="14"/>
      <c r="F20" s="279">
        <f t="shared" si="0"/>
        <v>0</v>
      </c>
      <c r="G20" s="14"/>
      <c r="H20" s="14"/>
      <c r="I20" s="14"/>
      <c r="J20" s="25"/>
      <c r="K20" s="52">
        <f t="shared" si="1"/>
        <v>0</v>
      </c>
      <c r="L20" s="23"/>
      <c r="M20" s="13"/>
      <c r="N20" s="13"/>
      <c r="O20" s="13"/>
      <c r="P20" s="13"/>
      <c r="Q20" s="14"/>
      <c r="R20" s="13"/>
      <c r="S20" s="14"/>
      <c r="T20" s="279">
        <f>S20*0.1</f>
        <v>0</v>
      </c>
      <c r="U20" s="279">
        <f>T20*0.08</f>
        <v>0</v>
      </c>
      <c r="V20" s="280">
        <v>19</v>
      </c>
      <c r="W20" s="15"/>
      <c r="X20" s="115" t="str">
        <f>IF(D20&gt;=0,"OK","ERROR")</f>
        <v>OK</v>
      </c>
      <c r="Y20" s="115" t="str">
        <f>IF(E20&lt;=0,"OK","ERROR")</f>
        <v>OK</v>
      </c>
      <c r="Z20" s="115" t="str">
        <f>IF(MIN(F20:N20)&gt;=0,"OK","ERROR")</f>
        <v>OK</v>
      </c>
      <c r="AA20" s="6"/>
      <c r="AB20" s="6"/>
      <c r="AC20" s="115" t="str">
        <f t="shared" si="5"/>
        <v>OK</v>
      </c>
      <c r="AD20" s="6"/>
      <c r="AE20" s="115" t="str">
        <f t="shared" si="6"/>
        <v>OK</v>
      </c>
    </row>
    <row r="21" spans="1:32" ht="20.100000000000001" customHeight="1" thickTop="1" thickBot="1">
      <c r="A21" s="163"/>
      <c r="B21" s="158" t="s">
        <v>59</v>
      </c>
      <c r="C21" s="114">
        <v>5</v>
      </c>
      <c r="D21" s="14"/>
      <c r="E21" s="14"/>
      <c r="F21" s="27">
        <f t="shared" si="0"/>
        <v>0</v>
      </c>
      <c r="G21" s="14"/>
      <c r="H21" s="14"/>
      <c r="I21" s="14"/>
      <c r="J21" s="25"/>
      <c r="K21" s="52">
        <f t="shared" si="1"/>
        <v>0</v>
      </c>
      <c r="L21" s="23"/>
      <c r="M21" s="13"/>
      <c r="N21" s="13"/>
      <c r="O21" s="13"/>
      <c r="P21" s="13"/>
      <c r="Q21" s="14"/>
      <c r="R21" s="13"/>
      <c r="S21" s="14"/>
      <c r="T21" s="27">
        <f>S21*0.2</f>
        <v>0</v>
      </c>
      <c r="U21" s="27">
        <f t="shared" ref="U21:U34" si="7">T21*0.08</f>
        <v>0</v>
      </c>
      <c r="V21" s="114">
        <v>5</v>
      </c>
      <c r="W21" s="15"/>
      <c r="X21" s="115" t="str">
        <f t="shared" si="2"/>
        <v>OK</v>
      </c>
      <c r="Y21" s="115" t="str">
        <f t="shared" si="3"/>
        <v>OK</v>
      </c>
      <c r="Z21" s="115" t="str">
        <f t="shared" si="4"/>
        <v>OK</v>
      </c>
      <c r="AA21" s="6"/>
      <c r="AB21" s="6"/>
      <c r="AC21" s="115" t="str">
        <f t="shared" si="5"/>
        <v>OK</v>
      </c>
      <c r="AD21" s="6"/>
      <c r="AE21" s="115" t="str">
        <f t="shared" si="6"/>
        <v>OK</v>
      </c>
    </row>
    <row r="22" spans="1:32" ht="20.100000000000001" customHeight="1" thickTop="1" thickBot="1">
      <c r="A22" s="164"/>
      <c r="B22" s="158" t="s">
        <v>50</v>
      </c>
      <c r="C22" s="114">
        <v>6</v>
      </c>
      <c r="D22" s="14"/>
      <c r="E22" s="14"/>
      <c r="F22" s="27">
        <f t="shared" si="0"/>
        <v>0</v>
      </c>
      <c r="G22" s="14"/>
      <c r="H22" s="14"/>
      <c r="I22" s="14"/>
      <c r="J22" s="25"/>
      <c r="K22" s="52">
        <f t="shared" si="1"/>
        <v>0</v>
      </c>
      <c r="L22" s="23"/>
      <c r="M22" s="13"/>
      <c r="N22" s="13"/>
      <c r="O22" s="13"/>
      <c r="P22" s="13"/>
      <c r="Q22" s="14"/>
      <c r="R22" s="13"/>
      <c r="S22" s="14"/>
      <c r="T22" s="27">
        <f>S22*0.2</f>
        <v>0</v>
      </c>
      <c r="U22" s="27">
        <f t="shared" si="7"/>
        <v>0</v>
      </c>
      <c r="V22" s="114">
        <v>6</v>
      </c>
      <c r="W22" s="15"/>
      <c r="X22" s="115" t="str">
        <f t="shared" si="2"/>
        <v>OK</v>
      </c>
      <c r="Y22" s="115" t="str">
        <f t="shared" si="3"/>
        <v>OK</v>
      </c>
      <c r="Z22" s="115" t="str">
        <f t="shared" si="4"/>
        <v>OK</v>
      </c>
      <c r="AA22" s="6"/>
      <c r="AB22" s="6"/>
      <c r="AC22" s="115" t="str">
        <f t="shared" si="5"/>
        <v>OK</v>
      </c>
      <c r="AD22" s="6"/>
      <c r="AE22" s="115" t="str">
        <f t="shared" si="6"/>
        <v>OK</v>
      </c>
    </row>
    <row r="23" spans="1:32" ht="16.5" customHeight="1" thickTop="1" thickBot="1">
      <c r="A23" s="11"/>
      <c r="B23" s="158">
        <v>0.35</v>
      </c>
      <c r="C23" s="114">
        <v>7</v>
      </c>
      <c r="D23" s="14"/>
      <c r="E23" s="14"/>
      <c r="F23" s="27">
        <f t="shared" si="0"/>
        <v>0</v>
      </c>
      <c r="G23" s="14"/>
      <c r="H23" s="14"/>
      <c r="I23" s="14"/>
      <c r="J23" s="25"/>
      <c r="K23" s="52">
        <f t="shared" si="1"/>
        <v>0</v>
      </c>
      <c r="L23" s="23"/>
      <c r="M23" s="13"/>
      <c r="N23" s="13"/>
      <c r="O23" s="13"/>
      <c r="P23" s="13"/>
      <c r="Q23" s="14"/>
      <c r="R23" s="13"/>
      <c r="S23" s="14"/>
      <c r="T23" s="27">
        <f>S23*0.35</f>
        <v>0</v>
      </c>
      <c r="U23" s="27">
        <f t="shared" si="7"/>
        <v>0</v>
      </c>
      <c r="V23" s="114">
        <v>7</v>
      </c>
      <c r="W23" s="15"/>
      <c r="X23" s="115" t="str">
        <f t="shared" si="2"/>
        <v>OK</v>
      </c>
      <c r="Y23" s="115" t="str">
        <f t="shared" si="3"/>
        <v>OK</v>
      </c>
      <c r="Z23" s="115" t="str">
        <f t="shared" si="4"/>
        <v>OK</v>
      </c>
      <c r="AA23" s="6"/>
      <c r="AB23" s="6"/>
      <c r="AC23" s="115" t="str">
        <f t="shared" si="5"/>
        <v>OK</v>
      </c>
      <c r="AD23" s="6"/>
      <c r="AE23" s="115" t="str">
        <f t="shared" si="6"/>
        <v>OK</v>
      </c>
    </row>
    <row r="24" spans="1:32" ht="20.100000000000001" customHeight="1" thickTop="1" thickBot="1">
      <c r="A24" s="163"/>
      <c r="B24" s="158" t="s">
        <v>48</v>
      </c>
      <c r="C24" s="114">
        <v>8</v>
      </c>
      <c r="D24" s="14"/>
      <c r="E24" s="14"/>
      <c r="F24" s="27">
        <f t="shared" si="0"/>
        <v>0</v>
      </c>
      <c r="G24" s="14"/>
      <c r="H24" s="14"/>
      <c r="I24" s="14"/>
      <c r="J24" s="25"/>
      <c r="K24" s="52">
        <f t="shared" si="1"/>
        <v>0</v>
      </c>
      <c r="L24" s="23"/>
      <c r="M24" s="13"/>
      <c r="N24" s="13"/>
      <c r="O24" s="13"/>
      <c r="P24" s="13"/>
      <c r="Q24" s="14"/>
      <c r="R24" s="13"/>
      <c r="S24" s="14"/>
      <c r="T24" s="27">
        <f>S24*0.5</f>
        <v>0</v>
      </c>
      <c r="U24" s="27">
        <f t="shared" si="7"/>
        <v>0</v>
      </c>
      <c r="V24" s="114">
        <v>8</v>
      </c>
      <c r="W24" s="15"/>
      <c r="X24" s="115" t="str">
        <f t="shared" si="2"/>
        <v>OK</v>
      </c>
      <c r="Y24" s="115" t="str">
        <f t="shared" si="3"/>
        <v>OK</v>
      </c>
      <c r="Z24" s="115" t="str">
        <f t="shared" si="4"/>
        <v>OK</v>
      </c>
      <c r="AA24" s="6"/>
      <c r="AB24" s="6"/>
      <c r="AC24" s="115" t="str">
        <f t="shared" si="5"/>
        <v>OK</v>
      </c>
      <c r="AD24" s="6"/>
      <c r="AE24" s="115" t="str">
        <f t="shared" si="6"/>
        <v>OK</v>
      </c>
    </row>
    <row r="25" spans="1:32" ht="20.100000000000001" customHeight="1" thickTop="1" thickBot="1">
      <c r="A25" s="163"/>
      <c r="B25" s="158" t="s">
        <v>50</v>
      </c>
      <c r="C25" s="114">
        <v>9</v>
      </c>
      <c r="D25" s="14"/>
      <c r="E25" s="14"/>
      <c r="F25" s="27">
        <f t="shared" si="0"/>
        <v>0</v>
      </c>
      <c r="G25" s="14"/>
      <c r="H25" s="14"/>
      <c r="I25" s="14"/>
      <c r="J25" s="25"/>
      <c r="K25" s="52">
        <f t="shared" si="1"/>
        <v>0</v>
      </c>
      <c r="L25" s="23"/>
      <c r="M25" s="13"/>
      <c r="N25" s="13"/>
      <c r="O25" s="13"/>
      <c r="P25" s="13"/>
      <c r="Q25" s="14"/>
      <c r="R25" s="13"/>
      <c r="S25" s="14"/>
      <c r="T25" s="27">
        <f>S25*0.5</f>
        <v>0</v>
      </c>
      <c r="U25" s="27">
        <f t="shared" si="7"/>
        <v>0</v>
      </c>
      <c r="V25" s="114">
        <v>9</v>
      </c>
      <c r="W25" s="15"/>
      <c r="X25" s="115" t="str">
        <f t="shared" si="2"/>
        <v>OK</v>
      </c>
      <c r="Y25" s="115" t="str">
        <f t="shared" si="3"/>
        <v>OK</v>
      </c>
      <c r="Z25" s="115" t="str">
        <f t="shared" si="4"/>
        <v>OK</v>
      </c>
      <c r="AA25" s="6"/>
      <c r="AB25" s="6"/>
      <c r="AC25" s="115" t="str">
        <f t="shared" si="5"/>
        <v>OK</v>
      </c>
      <c r="AD25" s="6"/>
      <c r="AE25" s="115" t="str">
        <f t="shared" si="6"/>
        <v>OK</v>
      </c>
    </row>
    <row r="26" spans="1:32" ht="20.100000000000001" customHeight="1" thickTop="1" thickBot="1">
      <c r="A26" s="163"/>
      <c r="B26" s="158" t="s">
        <v>552</v>
      </c>
      <c r="C26" s="114">
        <v>11</v>
      </c>
      <c r="D26" s="14"/>
      <c r="E26" s="14"/>
      <c r="F26" s="27">
        <f t="shared" si="0"/>
        <v>0</v>
      </c>
      <c r="G26" s="14"/>
      <c r="H26" s="14"/>
      <c r="I26" s="14"/>
      <c r="J26" s="25"/>
      <c r="K26" s="52">
        <f t="shared" si="1"/>
        <v>0</v>
      </c>
      <c r="L26" s="23"/>
      <c r="M26" s="13"/>
      <c r="N26" s="13"/>
      <c r="O26" s="13"/>
      <c r="P26" s="13"/>
      <c r="Q26" s="14"/>
      <c r="R26" s="13"/>
      <c r="S26" s="14"/>
      <c r="T26" s="27">
        <f>S26*0.75</f>
        <v>0</v>
      </c>
      <c r="U26" s="27">
        <f t="shared" si="7"/>
        <v>0</v>
      </c>
      <c r="V26" s="114">
        <v>11</v>
      </c>
      <c r="W26" s="15"/>
      <c r="X26" s="115" t="str">
        <f t="shared" si="2"/>
        <v>OK</v>
      </c>
      <c r="Y26" s="115" t="str">
        <f t="shared" si="3"/>
        <v>OK</v>
      </c>
      <c r="Z26" s="115" t="str">
        <f t="shared" si="4"/>
        <v>OK</v>
      </c>
      <c r="AA26" s="6"/>
      <c r="AB26" s="6"/>
      <c r="AC26" s="115" t="str">
        <f t="shared" si="5"/>
        <v>OK</v>
      </c>
      <c r="AD26" s="6"/>
      <c r="AE26" s="115" t="str">
        <f t="shared" si="6"/>
        <v>OK</v>
      </c>
    </row>
    <row r="27" spans="1:32" ht="20.100000000000001" customHeight="1" thickTop="1" thickBot="1">
      <c r="A27" s="163"/>
      <c r="B27" s="159" t="s">
        <v>49</v>
      </c>
      <c r="C27" s="280">
        <v>20</v>
      </c>
      <c r="D27" s="14"/>
      <c r="E27" s="14"/>
      <c r="F27" s="279">
        <f t="shared" si="0"/>
        <v>0</v>
      </c>
      <c r="G27" s="14"/>
      <c r="H27" s="14"/>
      <c r="I27" s="14"/>
      <c r="J27" s="25"/>
      <c r="K27" s="52">
        <f t="shared" si="1"/>
        <v>0</v>
      </c>
      <c r="L27" s="23"/>
      <c r="M27" s="13"/>
      <c r="N27" s="13"/>
      <c r="O27" s="13"/>
      <c r="P27" s="13"/>
      <c r="Q27" s="14"/>
      <c r="R27" s="13"/>
      <c r="S27" s="14"/>
      <c r="T27" s="279">
        <f>S27*0.75</f>
        <v>0</v>
      </c>
      <c r="U27" s="279">
        <f t="shared" si="7"/>
        <v>0</v>
      </c>
      <c r="V27" s="280">
        <v>20</v>
      </c>
      <c r="W27" s="15"/>
      <c r="X27" s="115" t="str">
        <f>IF(D27&gt;=0,"OK","ERROR")</f>
        <v>OK</v>
      </c>
      <c r="Y27" s="115" t="str">
        <f>IF(E27&lt;=0,"OK","ERROR")</f>
        <v>OK</v>
      </c>
      <c r="Z27" s="115" t="str">
        <f>IF(MIN(F27:N27)&gt;=0,"OK","ERROR")</f>
        <v>OK</v>
      </c>
      <c r="AA27" s="6"/>
      <c r="AB27" s="6"/>
      <c r="AC27" s="115" t="str">
        <f t="shared" si="5"/>
        <v>OK</v>
      </c>
      <c r="AD27" s="6"/>
      <c r="AE27" s="115" t="str">
        <f t="shared" si="6"/>
        <v>OK</v>
      </c>
    </row>
    <row r="28" spans="1:32" ht="19.5" customHeight="1" thickTop="1" thickBot="1">
      <c r="A28" s="163"/>
      <c r="B28" s="158" t="s">
        <v>51</v>
      </c>
      <c r="C28" s="114">
        <v>12</v>
      </c>
      <c r="D28" s="14"/>
      <c r="E28" s="14"/>
      <c r="F28" s="27">
        <f t="shared" si="0"/>
        <v>0</v>
      </c>
      <c r="G28" s="14"/>
      <c r="H28" s="14"/>
      <c r="I28" s="14"/>
      <c r="J28" s="25"/>
      <c r="K28" s="52">
        <f t="shared" si="1"/>
        <v>0</v>
      </c>
      <c r="L28" s="23"/>
      <c r="M28" s="13"/>
      <c r="N28" s="13"/>
      <c r="O28" s="13"/>
      <c r="P28" s="13"/>
      <c r="Q28" s="14"/>
      <c r="R28" s="13"/>
      <c r="S28" s="14"/>
      <c r="T28" s="27">
        <f>S28*1</f>
        <v>0</v>
      </c>
      <c r="U28" s="27">
        <f t="shared" si="7"/>
        <v>0</v>
      </c>
      <c r="V28" s="114">
        <v>12</v>
      </c>
      <c r="W28" s="15"/>
      <c r="X28" s="115" t="str">
        <f t="shared" si="2"/>
        <v>OK</v>
      </c>
      <c r="Y28" s="115" t="str">
        <f t="shared" si="3"/>
        <v>OK</v>
      </c>
      <c r="Z28" s="115" t="str">
        <f t="shared" si="4"/>
        <v>OK</v>
      </c>
      <c r="AA28" s="6"/>
      <c r="AB28" s="6"/>
      <c r="AC28" s="115" t="str">
        <f t="shared" si="5"/>
        <v>OK</v>
      </c>
      <c r="AD28" s="6"/>
      <c r="AE28" s="115" t="str">
        <f t="shared" si="6"/>
        <v>OK</v>
      </c>
    </row>
    <row r="29" spans="1:32" ht="19.5" customHeight="1" thickTop="1" thickBot="1">
      <c r="A29" s="163"/>
      <c r="B29" s="158" t="s">
        <v>50</v>
      </c>
      <c r="C29" s="114">
        <v>13</v>
      </c>
      <c r="D29" s="14"/>
      <c r="E29" s="14"/>
      <c r="F29" s="27">
        <f t="shared" si="0"/>
        <v>0</v>
      </c>
      <c r="G29" s="14"/>
      <c r="H29" s="14"/>
      <c r="I29" s="14"/>
      <c r="J29" s="25"/>
      <c r="K29" s="52">
        <f t="shared" si="1"/>
        <v>0</v>
      </c>
      <c r="L29" s="23"/>
      <c r="M29" s="13"/>
      <c r="N29" s="13"/>
      <c r="O29" s="13"/>
      <c r="P29" s="13"/>
      <c r="Q29" s="14"/>
      <c r="R29" s="13"/>
      <c r="S29" s="14"/>
      <c r="T29" s="27">
        <f>S29*1</f>
        <v>0</v>
      </c>
      <c r="U29" s="27">
        <f t="shared" si="7"/>
        <v>0</v>
      </c>
      <c r="V29" s="114">
        <v>13</v>
      </c>
      <c r="W29" s="15"/>
      <c r="X29" s="115" t="str">
        <f t="shared" si="2"/>
        <v>OK</v>
      </c>
      <c r="Y29" s="115" t="str">
        <f t="shared" si="3"/>
        <v>OK</v>
      </c>
      <c r="Z29" s="115" t="str">
        <f t="shared" si="4"/>
        <v>OK</v>
      </c>
      <c r="AA29" s="6"/>
      <c r="AB29" s="6"/>
      <c r="AC29" s="115" t="str">
        <f t="shared" si="5"/>
        <v>OK</v>
      </c>
      <c r="AD29" s="6"/>
      <c r="AE29" s="115" t="str">
        <f t="shared" si="6"/>
        <v>OK</v>
      </c>
    </row>
    <row r="30" spans="1:32" ht="19.5" customHeight="1" thickTop="1" thickBot="1">
      <c r="A30" s="163"/>
      <c r="B30" s="159" t="s">
        <v>49</v>
      </c>
      <c r="C30" s="114">
        <v>14</v>
      </c>
      <c r="D30" s="14"/>
      <c r="E30" s="14"/>
      <c r="F30" s="27">
        <f t="shared" si="0"/>
        <v>0</v>
      </c>
      <c r="G30" s="14"/>
      <c r="H30" s="14"/>
      <c r="I30" s="14"/>
      <c r="J30" s="25"/>
      <c r="K30" s="52">
        <f t="shared" si="1"/>
        <v>0</v>
      </c>
      <c r="L30" s="23"/>
      <c r="M30" s="13"/>
      <c r="N30" s="13"/>
      <c r="O30" s="13"/>
      <c r="P30" s="13"/>
      <c r="Q30" s="14"/>
      <c r="R30" s="13"/>
      <c r="S30" s="14"/>
      <c r="T30" s="27">
        <f>S30*1</f>
        <v>0</v>
      </c>
      <c r="U30" s="27">
        <f t="shared" si="7"/>
        <v>0</v>
      </c>
      <c r="V30" s="114">
        <v>14</v>
      </c>
      <c r="W30" s="15"/>
      <c r="X30" s="115" t="str">
        <f t="shared" si="2"/>
        <v>OK</v>
      </c>
      <c r="Y30" s="115" t="str">
        <f t="shared" si="3"/>
        <v>OK</v>
      </c>
      <c r="Z30" s="115" t="str">
        <f t="shared" si="4"/>
        <v>OK</v>
      </c>
      <c r="AA30" s="6"/>
      <c r="AB30" s="6"/>
      <c r="AC30" s="115" t="str">
        <f t="shared" si="5"/>
        <v>OK</v>
      </c>
      <c r="AD30" s="6"/>
      <c r="AE30" s="115" t="str">
        <f t="shared" si="6"/>
        <v>OK</v>
      </c>
    </row>
    <row r="31" spans="1:32" ht="19.5" customHeight="1" thickTop="1" thickBot="1">
      <c r="A31" s="163"/>
      <c r="B31" s="158" t="s">
        <v>52</v>
      </c>
      <c r="C31" s="114">
        <v>15</v>
      </c>
      <c r="D31" s="14"/>
      <c r="E31" s="14"/>
      <c r="F31" s="27">
        <f t="shared" si="0"/>
        <v>0</v>
      </c>
      <c r="G31" s="14"/>
      <c r="H31" s="14"/>
      <c r="I31" s="14"/>
      <c r="J31" s="25"/>
      <c r="K31" s="52">
        <f t="shared" si="1"/>
        <v>0</v>
      </c>
      <c r="L31" s="23"/>
      <c r="M31" s="13"/>
      <c r="N31" s="13"/>
      <c r="O31" s="13"/>
      <c r="P31" s="13"/>
      <c r="Q31" s="14"/>
      <c r="R31" s="13"/>
      <c r="S31" s="14"/>
      <c r="T31" s="27">
        <f>S31*1</f>
        <v>0</v>
      </c>
      <c r="U31" s="27">
        <f t="shared" si="7"/>
        <v>0</v>
      </c>
      <c r="V31" s="114">
        <v>15</v>
      </c>
      <c r="W31" s="15"/>
      <c r="X31" s="115" t="str">
        <f t="shared" si="2"/>
        <v>OK</v>
      </c>
      <c r="Y31" s="115" t="str">
        <f t="shared" si="3"/>
        <v>OK</v>
      </c>
      <c r="Z31" s="115" t="str">
        <f t="shared" si="4"/>
        <v>OK</v>
      </c>
      <c r="AA31" s="6"/>
      <c r="AB31" s="6"/>
      <c r="AC31" s="115" t="str">
        <f t="shared" si="5"/>
        <v>OK</v>
      </c>
      <c r="AD31" s="6"/>
      <c r="AE31" s="115" t="str">
        <f t="shared" si="6"/>
        <v>OK</v>
      </c>
    </row>
    <row r="32" spans="1:32" ht="19.5" customHeight="1" thickTop="1" thickBot="1">
      <c r="A32" s="163"/>
      <c r="B32" s="158" t="s">
        <v>53</v>
      </c>
      <c r="C32" s="114">
        <v>16</v>
      </c>
      <c r="D32" s="14"/>
      <c r="E32" s="14"/>
      <c r="F32" s="27">
        <f t="shared" si="0"/>
        <v>0</v>
      </c>
      <c r="G32" s="14"/>
      <c r="H32" s="14"/>
      <c r="I32" s="14"/>
      <c r="J32" s="25"/>
      <c r="K32" s="52">
        <f t="shared" si="1"/>
        <v>0</v>
      </c>
      <c r="L32" s="23"/>
      <c r="M32" s="13"/>
      <c r="N32" s="13"/>
      <c r="O32" s="13"/>
      <c r="P32" s="13"/>
      <c r="Q32" s="14"/>
      <c r="R32" s="13"/>
      <c r="S32" s="14"/>
      <c r="T32" s="27">
        <f>S32*1.5</f>
        <v>0</v>
      </c>
      <c r="U32" s="27">
        <f t="shared" si="7"/>
        <v>0</v>
      </c>
      <c r="V32" s="114">
        <v>16</v>
      </c>
      <c r="W32" s="15"/>
      <c r="X32" s="115" t="str">
        <f t="shared" si="2"/>
        <v>OK</v>
      </c>
      <c r="Y32" s="115" t="str">
        <f t="shared" si="3"/>
        <v>OK</v>
      </c>
      <c r="Z32" s="115" t="str">
        <f t="shared" si="4"/>
        <v>OK</v>
      </c>
      <c r="AA32" s="6"/>
      <c r="AB32" s="6"/>
      <c r="AC32" s="115" t="str">
        <f t="shared" si="5"/>
        <v>OK</v>
      </c>
      <c r="AD32" s="6"/>
      <c r="AE32" s="115" t="str">
        <f t="shared" si="6"/>
        <v>OK</v>
      </c>
    </row>
    <row r="33" spans="1:32" ht="19.5" customHeight="1" thickTop="1" thickBot="1">
      <c r="A33" s="163"/>
      <c r="B33" s="158" t="s">
        <v>52</v>
      </c>
      <c r="C33" s="114">
        <v>17</v>
      </c>
      <c r="D33" s="14"/>
      <c r="E33" s="14"/>
      <c r="F33" s="27">
        <f t="shared" si="0"/>
        <v>0</v>
      </c>
      <c r="G33" s="14"/>
      <c r="H33" s="14"/>
      <c r="I33" s="14"/>
      <c r="J33" s="25"/>
      <c r="K33" s="52">
        <f t="shared" si="1"/>
        <v>0</v>
      </c>
      <c r="L33" s="23"/>
      <c r="M33" s="13"/>
      <c r="N33" s="13"/>
      <c r="O33" s="13"/>
      <c r="P33" s="13"/>
      <c r="Q33" s="14"/>
      <c r="R33" s="13"/>
      <c r="S33" s="14"/>
      <c r="T33" s="27">
        <f>S33*1.5</f>
        <v>0</v>
      </c>
      <c r="U33" s="27">
        <f t="shared" si="7"/>
        <v>0</v>
      </c>
      <c r="V33" s="114">
        <v>17</v>
      </c>
      <c r="W33" s="15"/>
      <c r="X33" s="115" t="str">
        <f t="shared" si="2"/>
        <v>OK</v>
      </c>
      <c r="Y33" s="115" t="str">
        <f t="shared" si="3"/>
        <v>OK</v>
      </c>
      <c r="Z33" s="115" t="str">
        <f t="shared" si="4"/>
        <v>OK</v>
      </c>
      <c r="AA33" s="6"/>
      <c r="AB33" s="6"/>
      <c r="AC33" s="115" t="str">
        <f t="shared" si="5"/>
        <v>OK</v>
      </c>
      <c r="AD33" s="6"/>
      <c r="AE33" s="115" t="str">
        <f t="shared" si="6"/>
        <v>OK</v>
      </c>
    </row>
    <row r="34" spans="1:32" ht="20.100000000000001" customHeight="1" thickTop="1" thickBot="1">
      <c r="A34" s="163"/>
      <c r="B34" s="158">
        <v>3.5</v>
      </c>
      <c r="C34" s="114">
        <v>18</v>
      </c>
      <c r="D34" s="14"/>
      <c r="E34" s="14"/>
      <c r="F34" s="27">
        <f t="shared" si="0"/>
        <v>0</v>
      </c>
      <c r="G34" s="14"/>
      <c r="H34" s="14"/>
      <c r="I34" s="14"/>
      <c r="J34" s="25"/>
      <c r="K34" s="52">
        <f t="shared" si="1"/>
        <v>0</v>
      </c>
      <c r="L34" s="23"/>
      <c r="M34" s="13"/>
      <c r="N34" s="13"/>
      <c r="O34" s="13"/>
      <c r="P34" s="13"/>
      <c r="Q34" s="14"/>
      <c r="R34" s="13"/>
      <c r="S34" s="14"/>
      <c r="T34" s="27">
        <f>S34*3.5</f>
        <v>0</v>
      </c>
      <c r="U34" s="27">
        <f t="shared" si="7"/>
        <v>0</v>
      </c>
      <c r="V34" s="114">
        <v>18</v>
      </c>
      <c r="W34" s="15"/>
      <c r="X34" s="115" t="str">
        <f t="shared" si="2"/>
        <v>OK</v>
      </c>
      <c r="Y34" s="115" t="str">
        <f t="shared" si="3"/>
        <v>OK</v>
      </c>
      <c r="Z34" s="115" t="str">
        <f t="shared" si="4"/>
        <v>OK</v>
      </c>
      <c r="AA34" s="6"/>
      <c r="AB34" s="6"/>
      <c r="AC34" s="115" t="str">
        <f t="shared" si="5"/>
        <v>OK</v>
      </c>
      <c r="AD34" s="6"/>
      <c r="AE34" s="115" t="str">
        <f t="shared" si="6"/>
        <v>OK</v>
      </c>
    </row>
    <row r="35" spans="1:32" ht="6" customHeight="1" thickTop="1">
      <c r="A35" s="165"/>
      <c r="B35" s="168"/>
      <c r="C35" s="8"/>
      <c r="D35" s="128"/>
      <c r="E35" s="128"/>
      <c r="F35" s="128"/>
      <c r="G35" s="128"/>
      <c r="H35" s="128"/>
      <c r="I35" s="128"/>
      <c r="J35" s="128"/>
      <c r="K35" s="128"/>
      <c r="L35" s="128"/>
      <c r="M35" s="128"/>
      <c r="N35" s="128"/>
      <c r="O35" s="128"/>
      <c r="P35" s="128"/>
      <c r="Q35" s="128"/>
      <c r="R35" s="128"/>
      <c r="S35" s="128"/>
      <c r="T35" s="128"/>
      <c r="U35" s="128"/>
      <c r="V35" s="8"/>
      <c r="W35" s="149"/>
      <c r="X35" s="149"/>
      <c r="Y35" s="142"/>
      <c r="Z35" s="142"/>
      <c r="AA35" s="6"/>
      <c r="AB35" s="6"/>
      <c r="AC35" s="6"/>
      <c r="AD35" s="6"/>
      <c r="AE35" s="6"/>
      <c r="AF35" s="6"/>
    </row>
    <row r="36" spans="1:32" ht="15" customHeight="1">
      <c r="A36" s="85"/>
      <c r="B36" s="21" t="str">
        <f>"Version: "&amp;D43</f>
        <v>Version: 2.01.E0</v>
      </c>
      <c r="C36" s="85"/>
      <c r="D36" s="85"/>
      <c r="E36" s="85"/>
      <c r="F36" s="85"/>
      <c r="G36" s="85"/>
      <c r="H36" s="85"/>
      <c r="I36" s="85"/>
      <c r="J36" s="85"/>
      <c r="K36" s="85"/>
      <c r="L36" s="85"/>
      <c r="M36" s="85"/>
      <c r="N36" s="85"/>
      <c r="O36" s="85"/>
      <c r="P36" s="85"/>
      <c r="Q36" s="85"/>
      <c r="R36" s="85"/>
      <c r="S36" s="85"/>
      <c r="T36" s="85"/>
      <c r="U36" s="85"/>
      <c r="V36" s="171" t="s">
        <v>157</v>
      </c>
      <c r="W36" s="15"/>
      <c r="X36" s="15"/>
      <c r="Y36" s="149"/>
      <c r="Z36" s="149"/>
      <c r="AA36" s="6"/>
      <c r="AB36" s="6"/>
      <c r="AC36" s="6"/>
      <c r="AD36" s="6"/>
      <c r="AE36" s="6"/>
      <c r="AF36" s="6"/>
    </row>
    <row r="37" spans="1:32" ht="15" customHeight="1">
      <c r="A37"/>
      <c r="B37"/>
      <c r="C37"/>
      <c r="D37"/>
      <c r="E37"/>
      <c r="F37"/>
      <c r="G37"/>
      <c r="H37"/>
      <c r="I37"/>
      <c r="J37"/>
      <c r="K37"/>
      <c r="L37"/>
      <c r="M37"/>
      <c r="N37"/>
      <c r="O37"/>
      <c r="P37"/>
      <c r="Q37"/>
      <c r="R37"/>
      <c r="S37"/>
      <c r="T37"/>
      <c r="U37"/>
      <c r="V37" s="6"/>
      <c r="W37" s="15"/>
      <c r="X37" s="15"/>
      <c r="Y37" s="15"/>
      <c r="Z37" s="15"/>
    </row>
    <row r="38" spans="1:32" ht="15" customHeight="1">
      <c r="Q38" s="57"/>
      <c r="S38" s="57"/>
      <c r="V38" s="6"/>
    </row>
    <row r="39" spans="1:32" ht="15" customHeight="1">
      <c r="Q39" s="57"/>
      <c r="S39" s="57"/>
    </row>
    <row r="40" spans="1:32" ht="15" customHeight="1">
      <c r="B40" s="3"/>
      <c r="C40" s="31" t="s">
        <v>94</v>
      </c>
      <c r="D40" s="16" t="str">
        <f>U2</f>
        <v>XXXXXX</v>
      </c>
    </row>
    <row r="41" spans="1:32" ht="15" customHeight="1">
      <c r="B41" s="5"/>
      <c r="D41" s="17" t="str">
        <f>U1</f>
        <v>CSIB_CRSABIS_01</v>
      </c>
    </row>
    <row r="42" spans="1:32" ht="15" customHeight="1">
      <c r="B42" s="5"/>
      <c r="D42" s="18" t="str">
        <f>U3</f>
        <v>DD.MM.YYYY</v>
      </c>
    </row>
    <row r="43" spans="1:32" ht="15" customHeight="1">
      <c r="B43" s="19"/>
      <c r="D43" s="20" t="s">
        <v>551</v>
      </c>
    </row>
    <row r="44" spans="1:32" ht="15" customHeight="1">
      <c r="B44" s="5"/>
      <c r="D44" s="17" t="str">
        <f>D13</f>
        <v>col. 01</v>
      </c>
    </row>
    <row r="45" spans="1:32" ht="15" customHeight="1">
      <c r="B45" s="10"/>
      <c r="C45" s="8"/>
      <c r="D45" s="59">
        <f>COUNTIF(D49:U54,"ERROR")+COUNTIF(X14:AE35,"ERROR")</f>
        <v>0</v>
      </c>
    </row>
    <row r="46" spans="1:32" ht="16.5" customHeight="1">
      <c r="B46" s="6"/>
      <c r="C46" s="7"/>
      <c r="D46" s="58"/>
    </row>
    <row r="47" spans="1:32">
      <c r="B47" s="6"/>
      <c r="C47" s="7"/>
      <c r="D47" s="56"/>
    </row>
    <row r="48" spans="1:32">
      <c r="D48" s="166" t="s">
        <v>95</v>
      </c>
      <c r="E48" s="166" t="s">
        <v>96</v>
      </c>
      <c r="F48" s="166" t="s">
        <v>97</v>
      </c>
      <c r="G48" s="166" t="s">
        <v>98</v>
      </c>
      <c r="H48" s="166" t="s">
        <v>99</v>
      </c>
      <c r="I48" s="166" t="s">
        <v>100</v>
      </c>
      <c r="J48" s="166" t="s">
        <v>101</v>
      </c>
      <c r="K48" s="166" t="s">
        <v>102</v>
      </c>
      <c r="L48" s="166" t="s">
        <v>103</v>
      </c>
      <c r="M48" s="166" t="s">
        <v>104</v>
      </c>
      <c r="N48" s="166" t="s">
        <v>105</v>
      </c>
      <c r="O48" s="166" t="s">
        <v>106</v>
      </c>
      <c r="P48" s="166" t="s">
        <v>107</v>
      </c>
      <c r="Q48" s="166" t="s">
        <v>108</v>
      </c>
      <c r="R48" s="166" t="s">
        <v>109</v>
      </c>
      <c r="S48" s="166" t="s">
        <v>110</v>
      </c>
      <c r="T48" s="166" t="s">
        <v>111</v>
      </c>
      <c r="U48" s="166" t="s">
        <v>112</v>
      </c>
      <c r="V48" s="85"/>
      <c r="W48" s="85"/>
    </row>
    <row r="49" spans="2:23">
      <c r="B49" s="288" t="s">
        <v>547</v>
      </c>
      <c r="C49" s="54"/>
      <c r="D49" s="115" t="str">
        <f>IF(ROUND(D17+D16,0)=ROUND(D14,0),"OK","ERROR")</f>
        <v>OK</v>
      </c>
      <c r="E49" s="115" t="str">
        <f>IF(ROUND(E17+E16,0)=ROUND(E14,0),"OK","ERROR")</f>
        <v>OK</v>
      </c>
      <c r="F49" s="115" t="str">
        <f>IF(ROUND(F17+F16,0)=ROUND(F14,0),"OK","ERROR")</f>
        <v>OK</v>
      </c>
      <c r="G49" s="115" t="str">
        <f>IF(ROUND(G17,0)=ROUND(G14,0),"OK","ERROR")</f>
        <v>OK</v>
      </c>
      <c r="H49" s="115" t="str">
        <f>IF(ROUND(H17,0)=ROUND(H14,0),"OK","ERROR")</f>
        <v>OK</v>
      </c>
      <c r="I49" s="115" t="str">
        <f>IF(ROUND(I17,0)=ROUND(I14,0),"OK","ERROR")</f>
        <v>OK</v>
      </c>
      <c r="J49" s="115" t="str">
        <f>IF(ROUND(J17,0)=ROUND(J14,0),"OK","ERROR")</f>
        <v>OK</v>
      </c>
      <c r="K49" s="115" t="str">
        <f>IF(AND(ROUND(K16+K17,0)=ROUND(K14,0),ROUND(K14,0)=ROUND(K19+K20+K21+K23+K24+K26+K28+K32+K34,0)),"OK","ERROR")</f>
        <v>OK</v>
      </c>
      <c r="L49" s="85"/>
      <c r="M49" s="85"/>
      <c r="N49" s="85"/>
      <c r="O49" s="85"/>
      <c r="P49" s="85"/>
      <c r="Q49" s="115" t="str">
        <f>IF(AND(ROUND(Q17+Q16,0)=ROUND(Q14,0),ROUND(K14+O14+P14,0)=ROUND(Q14,0)),"OK","ERROR")</f>
        <v>OK</v>
      </c>
      <c r="R49" s="85"/>
      <c r="S49" s="115" t="str">
        <f>IF(AND(ROUND(S17+S16,0)=ROUND(S14,0),ROUND(Q14+R14,0)=ROUND(S14,0)),"OK","ERROR")</f>
        <v>OK</v>
      </c>
      <c r="T49" s="115" t="str">
        <f>IF(ROUND(T17+T16,0)=ROUND(T14,0),"OK","ERROR")</f>
        <v>OK</v>
      </c>
      <c r="U49" s="115" t="str">
        <f>IF(ROUND(U17+U16,0)=ROUND(U14,0),"OK","ERROR")</f>
        <v>OK</v>
      </c>
      <c r="V49" s="85"/>
      <c r="W49" s="85"/>
    </row>
    <row r="50" spans="2:23">
      <c r="B50" s="288" t="s">
        <v>548</v>
      </c>
      <c r="C50" s="55"/>
      <c r="D50" s="115" t="str">
        <f>IF(ROUND(D22,0)&lt;=ROUND(D21,0),"OK","ERROR")</f>
        <v>OK</v>
      </c>
      <c r="E50" s="115" t="str">
        <f>IF(ROUND(E22,0)&gt;=ROUND(E21,0),"OK","ERROR")</f>
        <v>OK</v>
      </c>
      <c r="F50" s="115" t="str">
        <f t="shared" ref="F50:K50" si="8">IF(ROUND(F22,0)&lt;=ROUND(F21,0),"OK","ERROR")</f>
        <v>OK</v>
      </c>
      <c r="G50" s="115" t="str">
        <f t="shared" si="8"/>
        <v>OK</v>
      </c>
      <c r="H50" s="115" t="str">
        <f t="shared" si="8"/>
        <v>OK</v>
      </c>
      <c r="I50" s="115" t="str">
        <f t="shared" si="8"/>
        <v>OK</v>
      </c>
      <c r="J50" s="115" t="str">
        <f t="shared" si="8"/>
        <v>OK</v>
      </c>
      <c r="K50" s="115" t="str">
        <f t="shared" si="8"/>
        <v>OK</v>
      </c>
      <c r="L50" s="85"/>
      <c r="M50" s="85"/>
      <c r="N50" s="85"/>
      <c r="O50" s="85"/>
      <c r="P50" s="85"/>
      <c r="Q50" s="115" t="str">
        <f>IF(ROUND(Q22,0)&lt;=ROUND(Q21,0),"OK","ERROR")</f>
        <v>OK</v>
      </c>
      <c r="R50" s="85"/>
      <c r="S50" s="115" t="str">
        <f>IF(ROUND(S22,0)&lt;=ROUND(S21,0),"OK","ERROR")</f>
        <v>OK</v>
      </c>
      <c r="T50" s="115" t="str">
        <f>IF(ROUND(T22,0)&lt;=ROUND(T21,0),"OK","ERROR")</f>
        <v>OK</v>
      </c>
      <c r="U50" s="115" t="str">
        <f>IF(ROUND(U22,0)&lt;=ROUND(U21,0),"OK","ERROR")</f>
        <v>OK</v>
      </c>
      <c r="V50" s="85"/>
      <c r="W50" s="85"/>
    </row>
    <row r="51" spans="2:23">
      <c r="B51" s="288" t="s">
        <v>549</v>
      </c>
      <c r="C51" s="55"/>
      <c r="D51" s="115" t="str">
        <f>IF(ROUND(D25,0)&lt;=ROUND(D24,0),"OK","ERROR")</f>
        <v>OK</v>
      </c>
      <c r="E51" s="115" t="str">
        <f>IF(ROUND(E25,0)&gt;=ROUND(E24,0),"OK","ERROR")</f>
        <v>OK</v>
      </c>
      <c r="F51" s="115" t="str">
        <f t="shared" ref="F51:K51" si="9">IF(ROUND(F25,0)&lt;=ROUND(F24,0),"OK","ERROR")</f>
        <v>OK</v>
      </c>
      <c r="G51" s="115" t="str">
        <f t="shared" si="9"/>
        <v>OK</v>
      </c>
      <c r="H51" s="115" t="str">
        <f t="shared" si="9"/>
        <v>OK</v>
      </c>
      <c r="I51" s="115" t="str">
        <f t="shared" si="9"/>
        <v>OK</v>
      </c>
      <c r="J51" s="115" t="str">
        <f t="shared" si="9"/>
        <v>OK</v>
      </c>
      <c r="K51" s="115" t="str">
        <f t="shared" si="9"/>
        <v>OK</v>
      </c>
      <c r="L51" s="85"/>
      <c r="M51" s="85"/>
      <c r="N51" s="85"/>
      <c r="O51" s="85"/>
      <c r="P51" s="85"/>
      <c r="Q51" s="115" t="str">
        <f>IF(ROUND(Q25,0)&lt;=ROUND(Q24,0),"OK","ERROR")</f>
        <v>OK</v>
      </c>
      <c r="R51" s="85"/>
      <c r="S51" s="115" t="str">
        <f>IF(ROUND(S25,0)&lt;=ROUND(S24,0),"OK","ERROR")</f>
        <v>OK</v>
      </c>
      <c r="T51" s="115" t="str">
        <f>IF(ROUND(T25,0)&lt;=ROUND(T24,0),"OK","ERROR")</f>
        <v>OK</v>
      </c>
      <c r="U51" s="115" t="str">
        <f>IF(ROUND(U25,0)&lt;=ROUND(U24,0),"OK","ERROR")</f>
        <v>OK</v>
      </c>
      <c r="V51" s="85"/>
      <c r="W51" s="85"/>
    </row>
    <row r="52" spans="2:23">
      <c r="B52" s="288" t="s">
        <v>553</v>
      </c>
      <c r="C52" s="55"/>
      <c r="D52" s="115" t="str">
        <f>IF(ROUND(D27,0)&lt;=ROUND(D26,0),"OK","ERROR")</f>
        <v>OK</v>
      </c>
      <c r="E52" s="115" t="str">
        <f>IF(ROUND(E27,0)&gt;=ROUND(E26,0),"OK","ERROR")</f>
        <v>OK</v>
      </c>
      <c r="F52" s="115" t="str">
        <f t="shared" ref="F52:K52" si="10">IF(ROUND(F27,0)&lt;=ROUND(F26,0),"OK","ERROR")</f>
        <v>OK</v>
      </c>
      <c r="G52" s="115" t="str">
        <f t="shared" si="10"/>
        <v>OK</v>
      </c>
      <c r="H52" s="115" t="str">
        <f t="shared" si="10"/>
        <v>OK</v>
      </c>
      <c r="I52" s="115" t="str">
        <f t="shared" si="10"/>
        <v>OK</v>
      </c>
      <c r="J52" s="115" t="str">
        <f t="shared" si="10"/>
        <v>OK</v>
      </c>
      <c r="K52" s="115" t="str">
        <f t="shared" si="10"/>
        <v>OK</v>
      </c>
      <c r="L52" s="278"/>
      <c r="M52" s="278"/>
      <c r="N52" s="278"/>
      <c r="O52" s="278"/>
      <c r="P52" s="278"/>
      <c r="Q52" s="115" t="str">
        <f>IF(ROUND(Q27,0)&lt;=ROUND(Q26,0),"OK","ERROR")</f>
        <v>OK</v>
      </c>
      <c r="R52" s="278"/>
      <c r="S52" s="115" t="str">
        <f>IF(ROUND(S27,0)&lt;=ROUND(S26,0),"OK","ERROR")</f>
        <v>OK</v>
      </c>
      <c r="T52" s="115" t="str">
        <f>IF(ROUND(T27,0)&lt;=ROUND(T26,0),"OK","ERROR")</f>
        <v>OK</v>
      </c>
      <c r="U52" s="115" t="str">
        <f>IF(ROUND(U27,0)&lt;=ROUND(U26,0),"OK","ERROR")</f>
        <v>OK</v>
      </c>
      <c r="V52" s="278"/>
      <c r="W52" s="278"/>
    </row>
    <row r="53" spans="2:23">
      <c r="B53" s="290"/>
      <c r="C53" s="278"/>
      <c r="D53" s="278"/>
      <c r="E53" s="278"/>
      <c r="F53" s="278"/>
      <c r="G53" s="278"/>
      <c r="H53" s="278"/>
      <c r="I53" s="278"/>
      <c r="J53" s="278"/>
      <c r="K53" s="278"/>
      <c r="L53" s="278"/>
      <c r="M53" s="278"/>
      <c r="N53" s="278"/>
      <c r="O53" s="278"/>
      <c r="P53" s="278"/>
      <c r="Q53" s="278"/>
      <c r="R53" s="278"/>
      <c r="S53" s="278"/>
      <c r="T53" s="278"/>
      <c r="U53" s="278"/>
      <c r="V53" s="85"/>
      <c r="W53" s="85"/>
    </row>
    <row r="54" spans="2:23">
      <c r="B54" s="288" t="s">
        <v>550</v>
      </c>
      <c r="C54" s="55"/>
      <c r="D54" s="115" t="str">
        <f>IF(ROUND(D33,0)&lt;=ROUND(D32,0),"OK","ERROR")</f>
        <v>OK</v>
      </c>
      <c r="E54" s="115" t="str">
        <f>IF(ROUND(E33,0)&gt;=ROUND(E32,0),"OK","ERROR")</f>
        <v>OK</v>
      </c>
      <c r="F54" s="115" t="str">
        <f t="shared" ref="F54:K54" si="11">IF(ROUND(F33,0)&lt;=ROUND(F32,0),"OK","ERROR")</f>
        <v>OK</v>
      </c>
      <c r="G54" s="115" t="str">
        <f t="shared" si="11"/>
        <v>OK</v>
      </c>
      <c r="H54" s="115" t="str">
        <f t="shared" si="11"/>
        <v>OK</v>
      </c>
      <c r="I54" s="115" t="str">
        <f t="shared" si="11"/>
        <v>OK</v>
      </c>
      <c r="J54" s="115" t="str">
        <f t="shared" si="11"/>
        <v>OK</v>
      </c>
      <c r="K54" s="115" t="str">
        <f t="shared" si="11"/>
        <v>OK</v>
      </c>
      <c r="L54" s="85"/>
      <c r="M54" s="85"/>
      <c r="N54" s="85"/>
      <c r="O54" s="85"/>
      <c r="P54" s="85"/>
      <c r="Q54" s="115" t="str">
        <f>IF(ROUND(Q33,0)&lt;=ROUND(Q32,0),"OK","ERROR")</f>
        <v>OK</v>
      </c>
      <c r="R54" s="85"/>
      <c r="S54" s="115" t="str">
        <f>IF(ROUND(S33,0)&lt;=ROUND(S32,0),"OK","ERROR")</f>
        <v>OK</v>
      </c>
      <c r="T54" s="115" t="str">
        <f>IF(ROUND(T33,0)&lt;=ROUND(T32,0),"OK","ERROR")</f>
        <v>OK</v>
      </c>
      <c r="U54" s="115" t="str">
        <f>IF(ROUND(U33,0)&lt;=ROUND(U32,0),"OK","ERROR")</f>
        <v>OK</v>
      </c>
      <c r="V54" s="85"/>
      <c r="W54" s="85"/>
    </row>
    <row r="55" spans="2:23">
      <c r="V55" s="85"/>
      <c r="W55" s="85"/>
    </row>
  </sheetData>
  <sheetProtection sheet="1" objects="1" scenarios="1"/>
  <customSheetViews>
    <customSheetView guid="{4435029F-2F1B-45E2-BFDE-13E66716A0E9}" scale="80" showGridLines="0" showRowCol="0" zeroValues="0">
      <pane xSplit="3" ySplit="13" topLeftCell="D35" activePane="bottomRight" state="frozen"/>
      <selection pane="bottomRight" activeCell="L14" sqref="L14"/>
      <colBreaks count="1" manualBreakCount="1">
        <brk id="11" max="34" man="1"/>
      </colBreaks>
      <pageMargins left="0.39370078740157483" right="0.39370078740157483" top="0.39370078740157483" bottom="0.39370078740157483" header="0.19685039370078741" footer="0"/>
      <pageSetup paperSize="9" scale="54" orientation="landscape" r:id="rId1"/>
      <headerFooter alignWithMargins="0">
        <oddFooter>&amp;L&amp;"Arial,Fett"SNB Confidential&amp;C&amp;D&amp;RPage &amp;P</oddFooter>
      </headerFooter>
    </customSheetView>
  </customSheetViews>
  <mergeCells count="3">
    <mergeCell ref="E1:I1"/>
    <mergeCell ref="E2:I2"/>
    <mergeCell ref="M2:Q2"/>
  </mergeCells>
  <phoneticPr fontId="10" type="noConversion"/>
  <conditionalFormatting sqref="D25">
    <cfRule type="cellIs" dxfId="6" priority="3" stopIfTrue="1" operator="equal">
      <formula>$D$49="ERROR"</formula>
    </cfRule>
  </conditionalFormatting>
  <printOptions gridLinesSet="0"/>
  <pageMargins left="0.39370078740157483" right="0.39370078740157483" top="0.39370078740157483" bottom="0.39370078740157483" header="0.19685039370078741" footer="0"/>
  <pageSetup paperSize="9" scale="54" orientation="landscape" r:id="rId2"/>
  <headerFooter alignWithMargins="0">
    <oddFooter>&amp;L&amp;"Arial,Fett"SNB Confidential&amp;C&amp;D&amp;RPage &amp;P</oddFooter>
  </headerFooter>
  <colBreaks count="1" manualBreakCount="1">
    <brk id="11" max="34"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F55"/>
  <sheetViews>
    <sheetView showGridLines="0" showRowColHeaders="0" showZeros="0" zoomScale="80" zoomScaleNormal="80" workbookViewId="0">
      <pane xSplit="3" ySplit="13" topLeftCell="D14" activePane="bottomRight" state="frozen"/>
      <selection activeCell="K50" sqref="K50"/>
      <selection pane="topRight" activeCell="K50" sqref="K50"/>
      <selection pane="bottomLeft" activeCell="K50" sqref="K50"/>
      <selection pane="bottomRight" activeCell="L14" sqref="L14"/>
    </sheetView>
  </sheetViews>
  <sheetFormatPr baseColWidth="10" defaultColWidth="11.42578125" defaultRowHeight="12.75"/>
  <cols>
    <col min="1" max="1" width="8.42578125" style="4" customWidth="1"/>
    <col min="2" max="2" width="39.28515625" style="4" customWidth="1"/>
    <col min="3" max="3" width="4.7109375" style="4" customWidth="1"/>
    <col min="4" max="6" width="20.28515625" style="4" customWidth="1"/>
    <col min="7" max="7" width="15.7109375" style="4" customWidth="1"/>
    <col min="8" max="8" width="16.28515625" style="4" customWidth="1"/>
    <col min="9" max="9" width="15.7109375" style="4" customWidth="1"/>
    <col min="10" max="10" width="17.5703125" style="4" customWidth="1"/>
    <col min="11" max="11" width="24.85546875" style="4" customWidth="1"/>
    <col min="12" max="16" width="17.7109375" style="4" customWidth="1"/>
    <col min="17" max="20" width="20.28515625" style="4" customWidth="1"/>
    <col min="21" max="21" width="24.85546875" style="4" customWidth="1"/>
    <col min="22" max="22" width="4.7109375" style="4" customWidth="1"/>
    <col min="23" max="25" width="11.42578125" style="4" customWidth="1"/>
    <col min="26" max="26" width="21.5703125" style="4" customWidth="1"/>
    <col min="27" max="30" width="11.42578125" style="4" customWidth="1"/>
    <col min="31" max="31" width="21.5703125" style="4" customWidth="1"/>
    <col min="32" max="16384" width="11.42578125" style="4"/>
  </cols>
  <sheetData>
    <row r="1" spans="1:31" ht="20.25" customHeight="1">
      <c r="A1" s="6"/>
      <c r="B1" s="6"/>
      <c r="C1" s="6"/>
      <c r="E1" s="12" t="s">
        <v>46</v>
      </c>
      <c r="G1" s="11"/>
      <c r="H1" s="11"/>
      <c r="I1" s="11"/>
      <c r="J1" s="126" t="s">
        <v>61</v>
      </c>
      <c r="K1" s="305" t="s">
        <v>604</v>
      </c>
      <c r="L1" s="11"/>
      <c r="M1" s="12" t="s">
        <v>46</v>
      </c>
      <c r="N1" s="11"/>
      <c r="O1" s="11"/>
      <c r="P1" s="11"/>
      <c r="Q1" s="11"/>
      <c r="R1" s="11"/>
      <c r="S1" s="11"/>
      <c r="T1" s="126" t="s">
        <v>61</v>
      </c>
      <c r="U1" s="305" t="str">
        <f>K1</f>
        <v>CSIB_CRSABIS_02</v>
      </c>
      <c r="V1" s="11"/>
    </row>
    <row r="2" spans="1:31" ht="20.25" customHeight="1">
      <c r="A2" s="6"/>
      <c r="B2" s="11"/>
      <c r="C2" s="6"/>
      <c r="E2" s="669" t="s">
        <v>620</v>
      </c>
      <c r="F2" s="669"/>
      <c r="G2" s="669"/>
      <c r="H2" s="669"/>
      <c r="I2" s="669"/>
      <c r="J2" s="126" t="s">
        <v>1224</v>
      </c>
      <c r="K2" s="300" t="str">
        <f>'Delivery note'!H3</f>
        <v>XXXXXX</v>
      </c>
      <c r="L2" s="11"/>
      <c r="M2" s="669" t="s">
        <v>620</v>
      </c>
      <c r="N2" s="669"/>
      <c r="O2" s="669"/>
      <c r="P2" s="669"/>
      <c r="Q2" s="669"/>
      <c r="R2" s="11"/>
      <c r="S2" s="11"/>
      <c r="T2" s="126" t="s">
        <v>1224</v>
      </c>
      <c r="U2" s="300" t="str">
        <f>K2</f>
        <v>XXXXXX</v>
      </c>
      <c r="V2" s="11"/>
    </row>
    <row r="3" spans="1:31" ht="20.25" customHeight="1">
      <c r="A3" s="6"/>
      <c r="B3" s="11"/>
      <c r="C3" s="6"/>
      <c r="E3" s="144" t="s">
        <v>601</v>
      </c>
      <c r="G3" s="11"/>
      <c r="I3" s="85"/>
      <c r="J3" s="126" t="s">
        <v>546</v>
      </c>
      <c r="K3" s="306" t="str">
        <f>'Delivery note'!H4</f>
        <v>DD.MM.YYYY</v>
      </c>
      <c r="L3" s="11"/>
      <c r="M3" s="144" t="s">
        <v>601</v>
      </c>
      <c r="N3" s="6"/>
      <c r="O3" s="11"/>
      <c r="P3" s="11"/>
      <c r="Q3" s="11"/>
      <c r="R3" s="11"/>
      <c r="S3" s="11"/>
      <c r="T3" s="126" t="s">
        <v>546</v>
      </c>
      <c r="U3" s="306" t="str">
        <f>K3</f>
        <v>DD.MM.YYYY</v>
      </c>
      <c r="V3" s="11"/>
    </row>
    <row r="4" spans="1:31" ht="20.100000000000001" customHeight="1">
      <c r="A4" s="6"/>
      <c r="B4" s="11"/>
      <c r="C4" s="6"/>
      <c r="E4" s="145" t="s">
        <v>54</v>
      </c>
      <c r="H4" s="11"/>
      <c r="I4" s="85"/>
      <c r="J4" s="48"/>
      <c r="K4" s="116"/>
      <c r="L4" s="11"/>
      <c r="M4" s="145" t="s">
        <v>54</v>
      </c>
      <c r="N4" s="11"/>
      <c r="O4" s="11"/>
      <c r="P4" s="11"/>
      <c r="Q4" s="11"/>
      <c r="R4" s="11"/>
      <c r="S4" s="11"/>
      <c r="T4" s="11"/>
      <c r="U4" s="11"/>
      <c r="V4" s="11"/>
    </row>
    <row r="5" spans="1:31" ht="20.100000000000001" customHeight="1">
      <c r="A5" s="6"/>
      <c r="B5" s="11"/>
      <c r="C5" s="6"/>
      <c r="E5" s="146" t="s">
        <v>139</v>
      </c>
      <c r="F5" s="11"/>
      <c r="G5" s="11"/>
      <c r="H5" s="11"/>
      <c r="I5" s="11"/>
      <c r="J5" s="11"/>
      <c r="K5" s="11"/>
      <c r="L5" s="11"/>
      <c r="M5" s="146" t="s">
        <v>139</v>
      </c>
      <c r="N5" s="11"/>
      <c r="O5" s="11"/>
      <c r="P5" s="11"/>
      <c r="Q5" s="11"/>
      <c r="R5" s="11"/>
      <c r="S5" s="11"/>
      <c r="T5" s="11"/>
      <c r="U5" s="11"/>
      <c r="V5" s="11"/>
    </row>
    <row r="6" spans="1:31" ht="20.100000000000001" customHeight="1">
      <c r="A6" s="6"/>
      <c r="B6" s="11"/>
      <c r="C6" s="6"/>
      <c r="D6" s="6"/>
      <c r="E6" s="4" t="s">
        <v>6</v>
      </c>
      <c r="M6" s="4" t="s">
        <v>6</v>
      </c>
    </row>
    <row r="7" spans="1:31" ht="20.100000000000001" customHeight="1">
      <c r="A7" s="8"/>
      <c r="B7" s="11"/>
      <c r="C7" s="8"/>
      <c r="D7" s="8"/>
      <c r="F7" s="11"/>
      <c r="G7" s="11"/>
      <c r="H7" s="11"/>
      <c r="I7" s="11"/>
      <c r="J7" s="49"/>
      <c r="K7" s="49"/>
      <c r="L7" s="11"/>
      <c r="N7" s="49"/>
      <c r="O7" s="11"/>
      <c r="P7" s="11"/>
      <c r="Q7" s="11"/>
      <c r="R7" s="11"/>
      <c r="S7" s="11"/>
      <c r="T7" s="11"/>
      <c r="U7" s="11"/>
      <c r="V7" s="49"/>
    </row>
    <row r="8" spans="1:31" ht="14.25" customHeight="1">
      <c r="A8" s="161"/>
      <c r="B8" s="41"/>
      <c r="C8" s="151"/>
      <c r="D8" s="28" t="s">
        <v>8</v>
      </c>
      <c r="E8" s="28" t="s">
        <v>15</v>
      </c>
      <c r="F8" s="47" t="s">
        <v>19</v>
      </c>
      <c r="G8" s="34" t="s">
        <v>55</v>
      </c>
      <c r="H8" s="42"/>
      <c r="I8" s="42"/>
      <c r="J8" s="62"/>
      <c r="K8" s="35" t="s">
        <v>19</v>
      </c>
      <c r="L8" s="42" t="s">
        <v>26</v>
      </c>
      <c r="M8" s="38"/>
      <c r="N8" s="38"/>
      <c r="O8" s="38"/>
      <c r="P8" s="35"/>
      <c r="Q8" s="30" t="s">
        <v>33</v>
      </c>
      <c r="R8" s="30" t="s">
        <v>37</v>
      </c>
      <c r="S8" s="30" t="s">
        <v>42</v>
      </c>
      <c r="T8" s="46" t="s">
        <v>44</v>
      </c>
      <c r="U8" s="30" t="s">
        <v>13</v>
      </c>
      <c r="V8" s="151"/>
      <c r="W8" s="22"/>
      <c r="X8" s="22"/>
      <c r="Y8" s="6"/>
      <c r="Z8" s="6"/>
    </row>
    <row r="9" spans="1:31" ht="14.25" customHeight="1">
      <c r="A9" s="162"/>
      <c r="B9" s="12"/>
      <c r="C9" s="152"/>
      <c r="D9" s="29" t="s">
        <v>9</v>
      </c>
      <c r="E9" s="29" t="s">
        <v>16</v>
      </c>
      <c r="F9" s="44" t="s">
        <v>20</v>
      </c>
      <c r="G9" s="63" t="s">
        <v>56</v>
      </c>
      <c r="H9" s="64"/>
      <c r="I9" s="64"/>
      <c r="J9" s="43"/>
      <c r="K9" s="43" t="s">
        <v>20</v>
      </c>
      <c r="L9" s="33"/>
      <c r="M9" s="33"/>
      <c r="N9" s="33"/>
      <c r="O9" s="40"/>
      <c r="P9" s="37"/>
      <c r="Q9" s="32" t="s">
        <v>34</v>
      </c>
      <c r="R9" s="32" t="s">
        <v>38</v>
      </c>
      <c r="S9" s="32" t="s">
        <v>43</v>
      </c>
      <c r="T9" s="29" t="s">
        <v>45</v>
      </c>
      <c r="U9" s="29" t="s">
        <v>14</v>
      </c>
      <c r="V9" s="152"/>
      <c r="W9" s="22"/>
      <c r="X9" s="22"/>
      <c r="Y9" s="6"/>
      <c r="Z9" s="6"/>
    </row>
    <row r="10" spans="1:31" ht="14.25" customHeight="1">
      <c r="A10" s="162"/>
      <c r="B10" s="12"/>
      <c r="C10" s="152"/>
      <c r="D10" s="29" t="s">
        <v>7</v>
      </c>
      <c r="E10" s="29" t="s">
        <v>17</v>
      </c>
      <c r="F10" s="44" t="s">
        <v>21</v>
      </c>
      <c r="G10" s="63"/>
      <c r="H10" s="65"/>
      <c r="I10" s="65"/>
      <c r="J10" s="66"/>
      <c r="K10" s="43" t="s">
        <v>24</v>
      </c>
      <c r="L10" s="42" t="s">
        <v>27</v>
      </c>
      <c r="M10" s="35"/>
      <c r="N10" s="43" t="s">
        <v>30</v>
      </c>
      <c r="O10" s="34" t="s">
        <v>11</v>
      </c>
      <c r="P10" s="35"/>
      <c r="Q10" s="32" t="s">
        <v>35</v>
      </c>
      <c r="R10" s="32" t="s">
        <v>39</v>
      </c>
      <c r="S10" s="32" t="s">
        <v>119</v>
      </c>
      <c r="T10" s="32"/>
      <c r="U10" s="32" t="s">
        <v>58</v>
      </c>
      <c r="V10" s="152"/>
      <c r="W10" s="22"/>
      <c r="X10" s="22"/>
      <c r="Y10" s="6"/>
      <c r="Z10" s="6"/>
    </row>
    <row r="11" spans="1:31" ht="14.25" customHeight="1">
      <c r="A11" s="162"/>
      <c r="B11" s="12"/>
      <c r="C11" s="152"/>
      <c r="D11" s="29"/>
      <c r="E11" s="29" t="s">
        <v>18</v>
      </c>
      <c r="F11" s="44" t="s">
        <v>22</v>
      </c>
      <c r="G11" s="36"/>
      <c r="H11" s="40"/>
      <c r="I11" s="45"/>
      <c r="J11" s="37"/>
      <c r="K11" s="43" t="s">
        <v>25</v>
      </c>
      <c r="L11" s="45" t="s">
        <v>28</v>
      </c>
      <c r="M11" s="37"/>
      <c r="N11" s="37" t="s">
        <v>12</v>
      </c>
      <c r="O11" s="39" t="s">
        <v>10</v>
      </c>
      <c r="P11" s="37"/>
      <c r="Q11" s="32" t="s">
        <v>36</v>
      </c>
      <c r="R11" s="32" t="s">
        <v>40</v>
      </c>
      <c r="T11" s="32"/>
      <c r="U11" s="32" t="s">
        <v>162</v>
      </c>
      <c r="V11" s="152"/>
      <c r="W11" s="22"/>
      <c r="X11" s="22"/>
      <c r="Y11" s="6"/>
      <c r="Z11" s="6"/>
    </row>
    <row r="12" spans="1:31" ht="68.25" customHeight="1">
      <c r="A12" s="6"/>
      <c r="B12" s="6"/>
      <c r="C12" s="152"/>
      <c r="D12" s="32"/>
      <c r="E12" s="32" t="s">
        <v>160</v>
      </c>
      <c r="F12" s="44" t="s">
        <v>23</v>
      </c>
      <c r="G12" s="174" t="s">
        <v>5</v>
      </c>
      <c r="H12" s="175">
        <v>0.2</v>
      </c>
      <c r="I12" s="176">
        <v>0.5</v>
      </c>
      <c r="J12" s="175">
        <v>1</v>
      </c>
      <c r="K12" s="43" t="s">
        <v>60</v>
      </c>
      <c r="L12" s="177" t="s">
        <v>1</v>
      </c>
      <c r="M12" s="178" t="s">
        <v>29</v>
      </c>
      <c r="N12" s="178" t="s">
        <v>31</v>
      </c>
      <c r="O12" s="32" t="s">
        <v>161</v>
      </c>
      <c r="P12" s="32" t="s">
        <v>32</v>
      </c>
      <c r="Q12" s="32" t="s">
        <v>57</v>
      </c>
      <c r="R12" s="32" t="s">
        <v>41</v>
      </c>
      <c r="S12" s="32"/>
      <c r="T12" s="32"/>
      <c r="U12" s="32"/>
      <c r="V12" s="152"/>
      <c r="W12" s="9"/>
      <c r="X12" s="9"/>
      <c r="Y12" s="9"/>
      <c r="Z12" s="9"/>
    </row>
    <row r="13" spans="1:31" ht="20.100000000000001" customHeight="1">
      <c r="A13" s="11"/>
      <c r="B13" s="49"/>
      <c r="C13" s="153"/>
      <c r="D13" s="179" t="s">
        <v>95</v>
      </c>
      <c r="E13" s="179" t="s">
        <v>96</v>
      </c>
      <c r="F13" s="179" t="s">
        <v>97</v>
      </c>
      <c r="G13" s="179" t="s">
        <v>98</v>
      </c>
      <c r="H13" s="179" t="s">
        <v>99</v>
      </c>
      <c r="I13" s="179" t="s">
        <v>100</v>
      </c>
      <c r="J13" s="179" t="s">
        <v>101</v>
      </c>
      <c r="K13" s="179" t="s">
        <v>102</v>
      </c>
      <c r="L13" s="179" t="s">
        <v>103</v>
      </c>
      <c r="M13" s="179" t="s">
        <v>104</v>
      </c>
      <c r="N13" s="179" t="s">
        <v>105</v>
      </c>
      <c r="O13" s="179" t="s">
        <v>106</v>
      </c>
      <c r="P13" s="179" t="s">
        <v>107</v>
      </c>
      <c r="Q13" s="179" t="s">
        <v>108</v>
      </c>
      <c r="R13" s="179" t="s">
        <v>109</v>
      </c>
      <c r="S13" s="179" t="s">
        <v>110</v>
      </c>
      <c r="T13" s="179" t="s">
        <v>111</v>
      </c>
      <c r="U13" s="179" t="s">
        <v>112</v>
      </c>
      <c r="V13" s="153"/>
      <c r="X13" s="6" t="s">
        <v>131</v>
      </c>
      <c r="Y13" s="6" t="s">
        <v>132</v>
      </c>
      <c r="Z13" s="6" t="s">
        <v>133</v>
      </c>
      <c r="AA13" s="6" t="s">
        <v>113</v>
      </c>
      <c r="AB13" s="6" t="s">
        <v>114</v>
      </c>
      <c r="AC13" s="6" t="s">
        <v>117</v>
      </c>
      <c r="AD13" s="6" t="s">
        <v>115</v>
      </c>
      <c r="AE13" s="6" t="s">
        <v>118</v>
      </c>
    </row>
    <row r="14" spans="1:31" ht="20.100000000000001" customHeight="1" thickBot="1">
      <c r="A14" s="185"/>
      <c r="B14" s="154" t="s">
        <v>2</v>
      </c>
      <c r="C14" s="114">
        <v>1</v>
      </c>
      <c r="D14" s="27">
        <f>SUM(D19:D21,D23:D24,D26,D28,D32,D34)</f>
        <v>0</v>
      </c>
      <c r="E14" s="279">
        <f>SUM(E19:E21,E23:E24,E26,E28,E32,E34)</f>
        <v>0</v>
      </c>
      <c r="F14" s="27">
        <f>D14+E14</f>
        <v>0</v>
      </c>
      <c r="G14" s="279">
        <f>SUM(G19:G21,G23:G24,G26,G28,G32,G34)</f>
        <v>0</v>
      </c>
      <c r="H14" s="279">
        <f>SUM(H19:H21,H23:H24,H26,H28,H32,H34)</f>
        <v>0</v>
      </c>
      <c r="I14" s="279">
        <f>SUM(I19:I21,I23:I24,I26,I28,I32,I34)</f>
        <v>0</v>
      </c>
      <c r="J14" s="279">
        <f>SUM(J19:J21,J23:J24,J26,J28,J32,J34)</f>
        <v>0</v>
      </c>
      <c r="K14" s="51">
        <f>F14-G14-0.8*H14-0.5*I14</f>
        <v>0</v>
      </c>
      <c r="L14" s="50"/>
      <c r="M14" s="14"/>
      <c r="N14" s="25"/>
      <c r="O14" s="27">
        <f>(L14+M14+N14)*-1</f>
        <v>0</v>
      </c>
      <c r="P14" s="14"/>
      <c r="Q14" s="279">
        <f>SUM(Q19:Q21,Q23:Q24,Q26,Q28,Q32,Q34)</f>
        <v>0</v>
      </c>
      <c r="R14" s="14"/>
      <c r="S14" s="279">
        <f>SUM(S19:S21,S23:S24,S26,S28,S32,S34)</f>
        <v>0</v>
      </c>
      <c r="T14" s="279">
        <f>SUM(T19:T21,T23:T24,T26,T28,T32,T34)</f>
        <v>0</v>
      </c>
      <c r="U14" s="27">
        <f>T14*0.08</f>
        <v>0</v>
      </c>
      <c r="V14" s="114">
        <v>1</v>
      </c>
      <c r="W14" s="15"/>
      <c r="X14" s="180" t="str">
        <f>IF(D14&gt;=0,"OK","ERROR")</f>
        <v>OK</v>
      </c>
      <c r="Y14" s="180" t="str">
        <f>IF(E14&lt;=0,"OK","ERROR")</f>
        <v>OK</v>
      </c>
      <c r="Z14" s="180" t="str">
        <f>IF(MIN(F14:N14)&gt;=0,"OK","ERROR")</f>
        <v>OK</v>
      </c>
      <c r="AA14" s="180" t="str">
        <f>IF(O14&lt;=0,"OK","ERROR")</f>
        <v>OK</v>
      </c>
      <c r="AB14" s="180" t="str">
        <f>IF(P14&gt;=0,"OK","ERROR")</f>
        <v>OK</v>
      </c>
      <c r="AC14" s="180" t="str">
        <f>IF(Q14&gt;=0,"OK","ERROR")</f>
        <v>OK</v>
      </c>
      <c r="AD14" s="180" t="str">
        <f>IF(R14&lt;=0,"OK","ERROR")</f>
        <v>OK</v>
      </c>
      <c r="AE14" s="180" t="str">
        <f>IF(MIN(S14:U14)&gt;=0,"OK","ERROR")</f>
        <v>OK</v>
      </c>
    </row>
    <row r="15" spans="1:31" ht="30" customHeight="1" thickTop="1">
      <c r="A15" s="163"/>
      <c r="B15" s="155" t="s">
        <v>116</v>
      </c>
      <c r="C15" s="114"/>
      <c r="D15" s="143"/>
      <c r="E15" s="143"/>
      <c r="F15" s="143"/>
      <c r="G15" s="143"/>
      <c r="H15" s="143"/>
      <c r="I15" s="143"/>
      <c r="J15" s="143"/>
      <c r="K15" s="143"/>
      <c r="L15" s="143"/>
      <c r="M15" s="143"/>
      <c r="N15" s="143"/>
      <c r="O15" s="143"/>
      <c r="P15" s="143"/>
      <c r="Q15" s="143"/>
      <c r="R15" s="143"/>
      <c r="S15" s="143"/>
      <c r="T15" s="143"/>
      <c r="U15" s="143"/>
      <c r="V15" s="114"/>
      <c r="W15" s="147"/>
      <c r="X15" s="148"/>
      <c r="Y15" s="148"/>
      <c r="Z15" s="148"/>
      <c r="AA15" s="6"/>
      <c r="AB15" s="139"/>
      <c r="AC15" s="6"/>
      <c r="AD15" s="6"/>
      <c r="AE15" s="140"/>
    </row>
    <row r="16" spans="1:31" ht="20.100000000000001" customHeight="1" thickBot="1">
      <c r="A16" s="163"/>
      <c r="B16" s="156" t="s">
        <v>3</v>
      </c>
      <c r="C16" s="114">
        <v>2</v>
      </c>
      <c r="D16" s="14"/>
      <c r="E16" s="14"/>
      <c r="F16" s="27">
        <f>D16+E16</f>
        <v>0</v>
      </c>
      <c r="G16" s="13"/>
      <c r="H16" s="13"/>
      <c r="I16" s="13"/>
      <c r="J16" s="26"/>
      <c r="K16" s="52">
        <f>F16</f>
        <v>0</v>
      </c>
      <c r="L16" s="23"/>
      <c r="M16" s="13"/>
      <c r="N16" s="13"/>
      <c r="O16" s="13"/>
      <c r="P16" s="13"/>
      <c r="Q16" s="14"/>
      <c r="R16" s="13"/>
      <c r="S16" s="14"/>
      <c r="T16" s="14"/>
      <c r="U16" s="27">
        <f>T16*0.08</f>
        <v>0</v>
      </c>
      <c r="V16" s="114">
        <v>2</v>
      </c>
      <c r="W16" s="15"/>
      <c r="X16" s="115" t="str">
        <f>IF(D16&gt;=0,"OK","ERROR")</f>
        <v>OK</v>
      </c>
      <c r="Y16" s="115" t="str">
        <f>IF(E16&lt;=0,"OK","ERROR")</f>
        <v>OK</v>
      </c>
      <c r="Z16" s="115" t="str">
        <f>IF(MIN(F16:N16)&gt;=0,"OK","ERROR")</f>
        <v>OK</v>
      </c>
      <c r="AA16" s="6"/>
      <c r="AB16" s="6"/>
      <c r="AC16" s="115" t="str">
        <f>IF(Q16&gt;=0,"OK","ERROR")</f>
        <v>OK</v>
      </c>
      <c r="AD16" s="6"/>
      <c r="AE16" s="115" t="str">
        <f>IF(MIN(S16:U16)&gt;=0,"OK","ERROR")</f>
        <v>OK</v>
      </c>
    </row>
    <row r="17" spans="1:32" ht="20.100000000000001" customHeight="1" thickTop="1" thickBot="1">
      <c r="A17" s="163"/>
      <c r="B17" s="156" t="s">
        <v>4</v>
      </c>
      <c r="C17" s="114">
        <v>3</v>
      </c>
      <c r="D17" s="14"/>
      <c r="E17" s="14"/>
      <c r="F17" s="27">
        <f>D17+E17</f>
        <v>0</v>
      </c>
      <c r="G17" s="14"/>
      <c r="H17" s="14"/>
      <c r="I17" s="14"/>
      <c r="J17" s="25"/>
      <c r="K17" s="52">
        <f>F17-G17-0.8*H17-0.5*I17</f>
        <v>0</v>
      </c>
      <c r="L17" s="23"/>
      <c r="M17" s="13"/>
      <c r="N17" s="13"/>
      <c r="O17" s="13"/>
      <c r="P17" s="13"/>
      <c r="Q17" s="14"/>
      <c r="R17" s="13"/>
      <c r="S17" s="14"/>
      <c r="T17" s="14"/>
      <c r="U17" s="27">
        <f>T17*0.08</f>
        <v>0</v>
      </c>
      <c r="V17" s="114">
        <v>3</v>
      </c>
      <c r="W17" s="15"/>
      <c r="X17" s="115" t="str">
        <f>IF(D17&gt;=0,"OK","ERROR")</f>
        <v>OK</v>
      </c>
      <c r="Y17" s="115" t="str">
        <f>IF(E17&lt;=0,"OK","ERROR")</f>
        <v>OK</v>
      </c>
      <c r="Z17" s="115" t="str">
        <f>IF(MIN(F17:N17)&gt;=0,"OK","ERROR")</f>
        <v>OK</v>
      </c>
      <c r="AA17" s="6"/>
      <c r="AB17" s="6"/>
      <c r="AC17" s="115" t="str">
        <f>IF(Q17&gt;=0,"OK","ERROR")</f>
        <v>OK</v>
      </c>
      <c r="AD17" s="6"/>
      <c r="AE17" s="115" t="str">
        <f>IF(MIN(S17:U17)&gt;=0,"OK","ERROR")</f>
        <v>OK</v>
      </c>
    </row>
    <row r="18" spans="1:32" ht="44.25" customHeight="1" thickTop="1">
      <c r="A18" s="163"/>
      <c r="B18" s="155" t="s">
        <v>47</v>
      </c>
      <c r="C18" s="114"/>
      <c r="D18" s="143"/>
      <c r="E18" s="143"/>
      <c r="F18" s="143"/>
      <c r="G18" s="143"/>
      <c r="H18" s="143"/>
      <c r="I18" s="143"/>
      <c r="J18" s="143"/>
      <c r="K18" s="143"/>
      <c r="L18" s="143"/>
      <c r="M18" s="143"/>
      <c r="N18" s="143"/>
      <c r="O18" s="143"/>
      <c r="P18" s="143"/>
      <c r="Q18" s="143"/>
      <c r="R18" s="143"/>
      <c r="S18" s="143"/>
      <c r="T18" s="143"/>
      <c r="U18" s="143"/>
      <c r="V18" s="114"/>
      <c r="W18" s="147"/>
      <c r="X18" s="149"/>
      <c r="Y18" s="142"/>
      <c r="Z18" s="150"/>
      <c r="AA18" s="6"/>
      <c r="AB18" s="6"/>
      <c r="AC18" s="6"/>
      <c r="AD18" s="6"/>
      <c r="AE18" s="6"/>
      <c r="AF18" s="6"/>
    </row>
    <row r="19" spans="1:32" ht="20.100000000000001" customHeight="1" thickBot="1">
      <c r="A19" s="163"/>
      <c r="B19" s="157" t="s">
        <v>5</v>
      </c>
      <c r="C19" s="114">
        <v>4</v>
      </c>
      <c r="D19" s="14"/>
      <c r="E19" s="14"/>
      <c r="F19" s="27">
        <f t="shared" ref="F19:F34" si="0">D19+E19</f>
        <v>0</v>
      </c>
      <c r="G19" s="14"/>
      <c r="H19" s="14"/>
      <c r="I19" s="14"/>
      <c r="J19" s="25"/>
      <c r="K19" s="52">
        <f t="shared" ref="K19:K34" si="1">F19-G19-0.8*H19-0.5*I19</f>
        <v>0</v>
      </c>
      <c r="L19" s="23"/>
      <c r="M19" s="13"/>
      <c r="N19" s="13"/>
      <c r="O19" s="13"/>
      <c r="P19" s="13"/>
      <c r="Q19" s="14"/>
      <c r="R19" s="13"/>
      <c r="S19" s="14"/>
      <c r="T19" s="13"/>
      <c r="U19" s="13"/>
      <c r="V19" s="114">
        <v>4</v>
      </c>
      <c r="W19" s="15"/>
      <c r="X19" s="115" t="str">
        <f t="shared" ref="X19:X34" si="2">IF(D19&gt;=0,"OK","ERROR")</f>
        <v>OK</v>
      </c>
      <c r="Y19" s="115" t="str">
        <f t="shared" ref="Y19:Y34" si="3">IF(E19&lt;=0,"OK","ERROR")</f>
        <v>OK</v>
      </c>
      <c r="Z19" s="115" t="str">
        <f t="shared" ref="Z19:Z34" si="4">IF(MIN(F19:N19)&gt;=0,"OK","ERROR")</f>
        <v>OK</v>
      </c>
      <c r="AA19" s="6"/>
      <c r="AB19" s="6"/>
      <c r="AC19" s="115" t="str">
        <f t="shared" ref="AC19:AC34" si="5">IF(Q19&gt;=0,"OK","ERROR")</f>
        <v>OK</v>
      </c>
      <c r="AD19" s="6"/>
      <c r="AE19" s="115" t="str">
        <f t="shared" ref="AE19:AE34" si="6">IF(MIN(S19:U19)&gt;=0,"OK","ERROR")</f>
        <v>OK</v>
      </c>
    </row>
    <row r="20" spans="1:32" ht="20.100000000000001" customHeight="1" thickTop="1" thickBot="1">
      <c r="A20" s="163"/>
      <c r="B20" s="158">
        <v>0.1</v>
      </c>
      <c r="C20" s="280">
        <v>19</v>
      </c>
      <c r="D20" s="14"/>
      <c r="E20" s="14"/>
      <c r="F20" s="279">
        <f t="shared" si="0"/>
        <v>0</v>
      </c>
      <c r="G20" s="14"/>
      <c r="H20" s="14"/>
      <c r="I20" s="14"/>
      <c r="J20" s="25"/>
      <c r="K20" s="52">
        <f t="shared" si="1"/>
        <v>0</v>
      </c>
      <c r="L20" s="23"/>
      <c r="M20" s="13"/>
      <c r="N20" s="13"/>
      <c r="O20" s="13"/>
      <c r="P20" s="13"/>
      <c r="Q20" s="14"/>
      <c r="R20" s="13"/>
      <c r="S20" s="14"/>
      <c r="T20" s="279">
        <f>S20*0.1</f>
        <v>0</v>
      </c>
      <c r="U20" s="279">
        <f>T20*0.08</f>
        <v>0</v>
      </c>
      <c r="V20" s="280">
        <v>19</v>
      </c>
      <c r="W20" s="15"/>
      <c r="X20" s="115" t="str">
        <f>IF(D20&gt;=0,"OK","ERROR")</f>
        <v>OK</v>
      </c>
      <c r="Y20" s="115" t="str">
        <f>IF(E20&lt;=0,"OK","ERROR")</f>
        <v>OK</v>
      </c>
      <c r="Z20" s="115" t="str">
        <f>IF(MIN(F20:N20)&gt;=0,"OK","ERROR")</f>
        <v>OK</v>
      </c>
      <c r="AA20" s="6"/>
      <c r="AB20" s="6"/>
      <c r="AC20" s="115" t="str">
        <f t="shared" si="5"/>
        <v>OK</v>
      </c>
      <c r="AD20" s="6"/>
      <c r="AE20" s="115" t="str">
        <f t="shared" si="6"/>
        <v>OK</v>
      </c>
    </row>
    <row r="21" spans="1:32" ht="20.100000000000001" customHeight="1" thickTop="1" thickBot="1">
      <c r="A21" s="163"/>
      <c r="B21" s="158" t="s">
        <v>59</v>
      </c>
      <c r="C21" s="114">
        <v>5</v>
      </c>
      <c r="D21" s="14"/>
      <c r="E21" s="14"/>
      <c r="F21" s="27">
        <f t="shared" si="0"/>
        <v>0</v>
      </c>
      <c r="G21" s="14"/>
      <c r="H21" s="14"/>
      <c r="I21" s="14"/>
      <c r="J21" s="25"/>
      <c r="K21" s="52">
        <f t="shared" si="1"/>
        <v>0</v>
      </c>
      <c r="L21" s="23"/>
      <c r="M21" s="13"/>
      <c r="N21" s="13"/>
      <c r="O21" s="13"/>
      <c r="P21" s="13"/>
      <c r="Q21" s="14"/>
      <c r="R21" s="13"/>
      <c r="S21" s="14"/>
      <c r="T21" s="27">
        <f>S21*0.2</f>
        <v>0</v>
      </c>
      <c r="U21" s="27">
        <f t="shared" ref="U21:U34" si="7">T21*0.08</f>
        <v>0</v>
      </c>
      <c r="V21" s="114">
        <v>5</v>
      </c>
      <c r="W21" s="15"/>
      <c r="X21" s="115" t="str">
        <f t="shared" si="2"/>
        <v>OK</v>
      </c>
      <c r="Y21" s="115" t="str">
        <f t="shared" si="3"/>
        <v>OK</v>
      </c>
      <c r="Z21" s="115" t="str">
        <f t="shared" si="4"/>
        <v>OK</v>
      </c>
      <c r="AA21" s="6"/>
      <c r="AB21" s="6"/>
      <c r="AC21" s="115" t="str">
        <f t="shared" si="5"/>
        <v>OK</v>
      </c>
      <c r="AD21" s="6"/>
      <c r="AE21" s="115" t="str">
        <f t="shared" si="6"/>
        <v>OK</v>
      </c>
    </row>
    <row r="22" spans="1:32" ht="20.100000000000001" customHeight="1" thickTop="1" thickBot="1">
      <c r="A22" s="164"/>
      <c r="B22" s="158" t="s">
        <v>50</v>
      </c>
      <c r="C22" s="114">
        <v>6</v>
      </c>
      <c r="D22" s="14"/>
      <c r="E22" s="14"/>
      <c r="F22" s="27">
        <f t="shared" si="0"/>
        <v>0</v>
      </c>
      <c r="G22" s="14"/>
      <c r="H22" s="14"/>
      <c r="I22" s="14"/>
      <c r="J22" s="25"/>
      <c r="K22" s="52">
        <f t="shared" si="1"/>
        <v>0</v>
      </c>
      <c r="L22" s="23"/>
      <c r="M22" s="13"/>
      <c r="N22" s="13"/>
      <c r="O22" s="13"/>
      <c r="P22" s="13"/>
      <c r="Q22" s="14"/>
      <c r="R22" s="13"/>
      <c r="S22" s="14"/>
      <c r="T22" s="27">
        <f>S22*0.2</f>
        <v>0</v>
      </c>
      <c r="U22" s="27">
        <f t="shared" si="7"/>
        <v>0</v>
      </c>
      <c r="V22" s="114">
        <v>6</v>
      </c>
      <c r="W22" s="15"/>
      <c r="X22" s="115" t="str">
        <f t="shared" si="2"/>
        <v>OK</v>
      </c>
      <c r="Y22" s="115" t="str">
        <f t="shared" si="3"/>
        <v>OK</v>
      </c>
      <c r="Z22" s="115" t="str">
        <f t="shared" si="4"/>
        <v>OK</v>
      </c>
      <c r="AA22" s="6"/>
      <c r="AB22" s="6"/>
      <c r="AC22" s="115" t="str">
        <f t="shared" si="5"/>
        <v>OK</v>
      </c>
      <c r="AD22" s="6"/>
      <c r="AE22" s="115" t="str">
        <f t="shared" si="6"/>
        <v>OK</v>
      </c>
    </row>
    <row r="23" spans="1:32" ht="16.5" customHeight="1" thickTop="1" thickBot="1">
      <c r="A23" s="11"/>
      <c r="B23" s="158">
        <v>0.35</v>
      </c>
      <c r="C23" s="114">
        <v>7</v>
      </c>
      <c r="D23" s="14"/>
      <c r="E23" s="14"/>
      <c r="F23" s="27">
        <f t="shared" si="0"/>
        <v>0</v>
      </c>
      <c r="G23" s="14"/>
      <c r="H23" s="14"/>
      <c r="I23" s="14"/>
      <c r="J23" s="25"/>
      <c r="K23" s="52">
        <f t="shared" si="1"/>
        <v>0</v>
      </c>
      <c r="L23" s="23"/>
      <c r="M23" s="13"/>
      <c r="N23" s="13"/>
      <c r="O23" s="13"/>
      <c r="P23" s="13"/>
      <c r="Q23" s="14"/>
      <c r="R23" s="13"/>
      <c r="S23" s="14"/>
      <c r="T23" s="27">
        <f>S23*0.35</f>
        <v>0</v>
      </c>
      <c r="U23" s="27">
        <f t="shared" si="7"/>
        <v>0</v>
      </c>
      <c r="V23" s="114">
        <v>7</v>
      </c>
      <c r="W23" s="15"/>
      <c r="X23" s="115" t="str">
        <f t="shared" si="2"/>
        <v>OK</v>
      </c>
      <c r="Y23" s="115" t="str">
        <f t="shared" si="3"/>
        <v>OK</v>
      </c>
      <c r="Z23" s="115" t="str">
        <f t="shared" si="4"/>
        <v>OK</v>
      </c>
      <c r="AA23" s="6"/>
      <c r="AB23" s="6"/>
      <c r="AC23" s="115" t="str">
        <f t="shared" si="5"/>
        <v>OK</v>
      </c>
      <c r="AD23" s="6"/>
      <c r="AE23" s="115" t="str">
        <f t="shared" si="6"/>
        <v>OK</v>
      </c>
    </row>
    <row r="24" spans="1:32" ht="20.100000000000001" customHeight="1" thickTop="1" thickBot="1">
      <c r="A24" s="163"/>
      <c r="B24" s="158" t="s">
        <v>48</v>
      </c>
      <c r="C24" s="114">
        <v>8</v>
      </c>
      <c r="D24" s="14"/>
      <c r="E24" s="14"/>
      <c r="F24" s="27">
        <f t="shared" si="0"/>
        <v>0</v>
      </c>
      <c r="G24" s="14"/>
      <c r="H24" s="14"/>
      <c r="I24" s="14"/>
      <c r="J24" s="25"/>
      <c r="K24" s="52">
        <f t="shared" si="1"/>
        <v>0</v>
      </c>
      <c r="L24" s="23"/>
      <c r="M24" s="13"/>
      <c r="N24" s="13"/>
      <c r="O24" s="13"/>
      <c r="P24" s="13"/>
      <c r="Q24" s="14"/>
      <c r="R24" s="13"/>
      <c r="S24" s="14"/>
      <c r="T24" s="27">
        <f>S24*0.5</f>
        <v>0</v>
      </c>
      <c r="U24" s="27">
        <f t="shared" si="7"/>
        <v>0</v>
      </c>
      <c r="V24" s="114">
        <v>8</v>
      </c>
      <c r="W24" s="15"/>
      <c r="X24" s="115" t="str">
        <f t="shared" si="2"/>
        <v>OK</v>
      </c>
      <c r="Y24" s="115" t="str">
        <f t="shared" si="3"/>
        <v>OK</v>
      </c>
      <c r="Z24" s="115" t="str">
        <f t="shared" si="4"/>
        <v>OK</v>
      </c>
      <c r="AA24" s="6"/>
      <c r="AB24" s="6"/>
      <c r="AC24" s="115" t="str">
        <f t="shared" si="5"/>
        <v>OK</v>
      </c>
      <c r="AD24" s="6"/>
      <c r="AE24" s="115" t="str">
        <f t="shared" si="6"/>
        <v>OK</v>
      </c>
    </row>
    <row r="25" spans="1:32" ht="20.100000000000001" customHeight="1" thickTop="1" thickBot="1">
      <c r="A25" s="163"/>
      <c r="B25" s="158" t="s">
        <v>50</v>
      </c>
      <c r="C25" s="114">
        <v>9</v>
      </c>
      <c r="D25" s="14"/>
      <c r="E25" s="14"/>
      <c r="F25" s="27">
        <f t="shared" si="0"/>
        <v>0</v>
      </c>
      <c r="G25" s="14"/>
      <c r="H25" s="14"/>
      <c r="I25" s="14"/>
      <c r="J25" s="25"/>
      <c r="K25" s="52">
        <f t="shared" si="1"/>
        <v>0</v>
      </c>
      <c r="L25" s="23"/>
      <c r="M25" s="13"/>
      <c r="N25" s="13"/>
      <c r="O25" s="13"/>
      <c r="P25" s="13"/>
      <c r="Q25" s="14"/>
      <c r="R25" s="13"/>
      <c r="S25" s="14"/>
      <c r="T25" s="27">
        <f>S25*0.5</f>
        <v>0</v>
      </c>
      <c r="U25" s="27">
        <f t="shared" si="7"/>
        <v>0</v>
      </c>
      <c r="V25" s="114">
        <v>9</v>
      </c>
      <c r="W25" s="15"/>
      <c r="X25" s="115" t="str">
        <f t="shared" si="2"/>
        <v>OK</v>
      </c>
      <c r="Y25" s="115" t="str">
        <f t="shared" si="3"/>
        <v>OK</v>
      </c>
      <c r="Z25" s="115" t="str">
        <f t="shared" si="4"/>
        <v>OK</v>
      </c>
      <c r="AA25" s="6"/>
      <c r="AB25" s="6"/>
      <c r="AC25" s="115" t="str">
        <f t="shared" si="5"/>
        <v>OK</v>
      </c>
      <c r="AD25" s="6"/>
      <c r="AE25" s="115" t="str">
        <f t="shared" si="6"/>
        <v>OK</v>
      </c>
    </row>
    <row r="26" spans="1:32" ht="20.100000000000001" customHeight="1" thickTop="1" thickBot="1">
      <c r="A26" s="163"/>
      <c r="B26" s="158" t="s">
        <v>552</v>
      </c>
      <c r="C26" s="114">
        <v>11</v>
      </c>
      <c r="D26" s="14"/>
      <c r="E26" s="14"/>
      <c r="F26" s="27">
        <f t="shared" si="0"/>
        <v>0</v>
      </c>
      <c r="G26" s="14"/>
      <c r="H26" s="14"/>
      <c r="I26" s="14"/>
      <c r="J26" s="25"/>
      <c r="K26" s="52">
        <f t="shared" si="1"/>
        <v>0</v>
      </c>
      <c r="L26" s="23"/>
      <c r="M26" s="13"/>
      <c r="N26" s="13"/>
      <c r="O26" s="13"/>
      <c r="P26" s="13"/>
      <c r="Q26" s="14"/>
      <c r="R26" s="13"/>
      <c r="S26" s="14"/>
      <c r="T26" s="27">
        <f>S26*0.75</f>
        <v>0</v>
      </c>
      <c r="U26" s="27">
        <f t="shared" si="7"/>
        <v>0</v>
      </c>
      <c r="V26" s="114">
        <v>11</v>
      </c>
      <c r="W26" s="15"/>
      <c r="X26" s="115" t="str">
        <f t="shared" si="2"/>
        <v>OK</v>
      </c>
      <c r="Y26" s="115" t="str">
        <f t="shared" si="3"/>
        <v>OK</v>
      </c>
      <c r="Z26" s="115" t="str">
        <f t="shared" si="4"/>
        <v>OK</v>
      </c>
      <c r="AA26" s="6"/>
      <c r="AB26" s="6"/>
      <c r="AC26" s="115" t="str">
        <f t="shared" si="5"/>
        <v>OK</v>
      </c>
      <c r="AD26" s="6"/>
      <c r="AE26" s="115" t="str">
        <f t="shared" si="6"/>
        <v>OK</v>
      </c>
    </row>
    <row r="27" spans="1:32" ht="20.100000000000001" customHeight="1" thickTop="1" thickBot="1">
      <c r="A27" s="163"/>
      <c r="B27" s="159" t="s">
        <v>49</v>
      </c>
      <c r="C27" s="280">
        <v>20</v>
      </c>
      <c r="D27" s="14"/>
      <c r="E27" s="14"/>
      <c r="F27" s="279">
        <f t="shared" si="0"/>
        <v>0</v>
      </c>
      <c r="G27" s="14"/>
      <c r="H27" s="14"/>
      <c r="I27" s="14"/>
      <c r="J27" s="25"/>
      <c r="K27" s="52">
        <f t="shared" si="1"/>
        <v>0</v>
      </c>
      <c r="L27" s="23"/>
      <c r="M27" s="13"/>
      <c r="N27" s="13"/>
      <c r="O27" s="13"/>
      <c r="P27" s="13"/>
      <c r="Q27" s="14"/>
      <c r="R27" s="13"/>
      <c r="S27" s="14"/>
      <c r="T27" s="279">
        <f>S27*0.75</f>
        <v>0</v>
      </c>
      <c r="U27" s="279">
        <f t="shared" si="7"/>
        <v>0</v>
      </c>
      <c r="V27" s="280">
        <v>20</v>
      </c>
      <c r="W27" s="15"/>
      <c r="X27" s="115" t="str">
        <f>IF(D27&gt;=0,"OK","ERROR")</f>
        <v>OK</v>
      </c>
      <c r="Y27" s="115" t="str">
        <f>IF(E27&lt;=0,"OK","ERROR")</f>
        <v>OK</v>
      </c>
      <c r="Z27" s="115" t="str">
        <f>IF(MIN(F27:N27)&gt;=0,"OK","ERROR")</f>
        <v>OK</v>
      </c>
      <c r="AA27" s="6"/>
      <c r="AB27" s="6"/>
      <c r="AC27" s="115" t="str">
        <f t="shared" si="5"/>
        <v>OK</v>
      </c>
      <c r="AD27" s="6"/>
      <c r="AE27" s="115" t="str">
        <f t="shared" si="6"/>
        <v>OK</v>
      </c>
    </row>
    <row r="28" spans="1:32" ht="19.5" customHeight="1" thickTop="1" thickBot="1">
      <c r="A28" s="163"/>
      <c r="B28" s="158" t="s">
        <v>51</v>
      </c>
      <c r="C28" s="114">
        <v>12</v>
      </c>
      <c r="D28" s="14"/>
      <c r="E28" s="14"/>
      <c r="F28" s="27">
        <f t="shared" si="0"/>
        <v>0</v>
      </c>
      <c r="G28" s="14"/>
      <c r="H28" s="14"/>
      <c r="I28" s="14"/>
      <c r="J28" s="25"/>
      <c r="K28" s="52">
        <f t="shared" si="1"/>
        <v>0</v>
      </c>
      <c r="L28" s="23"/>
      <c r="M28" s="13"/>
      <c r="N28" s="13"/>
      <c r="O28" s="13"/>
      <c r="P28" s="13"/>
      <c r="Q28" s="14"/>
      <c r="R28" s="13"/>
      <c r="S28" s="14"/>
      <c r="T28" s="27">
        <f>S28*1</f>
        <v>0</v>
      </c>
      <c r="U28" s="27">
        <f t="shared" si="7"/>
        <v>0</v>
      </c>
      <c r="V28" s="114">
        <v>12</v>
      </c>
      <c r="W28" s="15"/>
      <c r="X28" s="115" t="str">
        <f t="shared" si="2"/>
        <v>OK</v>
      </c>
      <c r="Y28" s="115" t="str">
        <f t="shared" si="3"/>
        <v>OK</v>
      </c>
      <c r="Z28" s="115" t="str">
        <f t="shared" si="4"/>
        <v>OK</v>
      </c>
      <c r="AA28" s="6"/>
      <c r="AB28" s="6"/>
      <c r="AC28" s="115" t="str">
        <f t="shared" si="5"/>
        <v>OK</v>
      </c>
      <c r="AD28" s="6"/>
      <c r="AE28" s="115" t="str">
        <f t="shared" si="6"/>
        <v>OK</v>
      </c>
    </row>
    <row r="29" spans="1:32" ht="19.5" customHeight="1" thickTop="1" thickBot="1">
      <c r="A29" s="163"/>
      <c r="B29" s="158" t="s">
        <v>50</v>
      </c>
      <c r="C29" s="114">
        <v>13</v>
      </c>
      <c r="D29" s="14"/>
      <c r="E29" s="14"/>
      <c r="F29" s="27">
        <f t="shared" si="0"/>
        <v>0</v>
      </c>
      <c r="G29" s="14"/>
      <c r="H29" s="14"/>
      <c r="I29" s="14"/>
      <c r="J29" s="25"/>
      <c r="K29" s="52">
        <f t="shared" si="1"/>
        <v>0</v>
      </c>
      <c r="L29" s="23"/>
      <c r="M29" s="13"/>
      <c r="N29" s="13"/>
      <c r="O29" s="13"/>
      <c r="P29" s="13"/>
      <c r="Q29" s="14"/>
      <c r="R29" s="13"/>
      <c r="S29" s="14"/>
      <c r="T29" s="27">
        <f>S29*1</f>
        <v>0</v>
      </c>
      <c r="U29" s="27">
        <f t="shared" si="7"/>
        <v>0</v>
      </c>
      <c r="V29" s="114">
        <v>13</v>
      </c>
      <c r="W29" s="15"/>
      <c r="X29" s="115" t="str">
        <f t="shared" si="2"/>
        <v>OK</v>
      </c>
      <c r="Y29" s="115" t="str">
        <f t="shared" si="3"/>
        <v>OK</v>
      </c>
      <c r="Z29" s="115" t="str">
        <f t="shared" si="4"/>
        <v>OK</v>
      </c>
      <c r="AA29" s="6"/>
      <c r="AB29" s="6"/>
      <c r="AC29" s="115" t="str">
        <f t="shared" si="5"/>
        <v>OK</v>
      </c>
      <c r="AD29" s="6"/>
      <c r="AE29" s="115" t="str">
        <f t="shared" si="6"/>
        <v>OK</v>
      </c>
    </row>
    <row r="30" spans="1:32" ht="19.5" customHeight="1" thickTop="1" thickBot="1">
      <c r="A30" s="163"/>
      <c r="B30" s="159" t="s">
        <v>49</v>
      </c>
      <c r="C30" s="114">
        <v>14</v>
      </c>
      <c r="D30" s="14"/>
      <c r="E30" s="14"/>
      <c r="F30" s="27">
        <f t="shared" si="0"/>
        <v>0</v>
      </c>
      <c r="G30" s="14"/>
      <c r="H30" s="14"/>
      <c r="I30" s="14"/>
      <c r="J30" s="25"/>
      <c r="K30" s="52">
        <f t="shared" si="1"/>
        <v>0</v>
      </c>
      <c r="L30" s="23"/>
      <c r="M30" s="13"/>
      <c r="N30" s="13"/>
      <c r="O30" s="13"/>
      <c r="P30" s="13"/>
      <c r="Q30" s="14"/>
      <c r="R30" s="13"/>
      <c r="S30" s="14"/>
      <c r="T30" s="27">
        <f>S30*1</f>
        <v>0</v>
      </c>
      <c r="U30" s="27">
        <f t="shared" si="7"/>
        <v>0</v>
      </c>
      <c r="V30" s="114">
        <v>14</v>
      </c>
      <c r="W30" s="15"/>
      <c r="X30" s="115" t="str">
        <f t="shared" si="2"/>
        <v>OK</v>
      </c>
      <c r="Y30" s="115" t="str">
        <f t="shared" si="3"/>
        <v>OK</v>
      </c>
      <c r="Z30" s="115" t="str">
        <f t="shared" si="4"/>
        <v>OK</v>
      </c>
      <c r="AA30" s="6"/>
      <c r="AB30" s="6"/>
      <c r="AC30" s="115" t="str">
        <f t="shared" si="5"/>
        <v>OK</v>
      </c>
      <c r="AD30" s="6"/>
      <c r="AE30" s="115" t="str">
        <f t="shared" si="6"/>
        <v>OK</v>
      </c>
    </row>
    <row r="31" spans="1:32" ht="19.5" customHeight="1" thickTop="1" thickBot="1">
      <c r="A31" s="163"/>
      <c r="B31" s="158" t="s">
        <v>52</v>
      </c>
      <c r="C31" s="114">
        <v>15</v>
      </c>
      <c r="D31" s="14"/>
      <c r="E31" s="14"/>
      <c r="F31" s="27">
        <f t="shared" si="0"/>
        <v>0</v>
      </c>
      <c r="G31" s="14"/>
      <c r="H31" s="14"/>
      <c r="I31" s="14"/>
      <c r="J31" s="25"/>
      <c r="K31" s="52">
        <f t="shared" si="1"/>
        <v>0</v>
      </c>
      <c r="L31" s="23"/>
      <c r="M31" s="13"/>
      <c r="N31" s="13"/>
      <c r="O31" s="13"/>
      <c r="P31" s="13"/>
      <c r="Q31" s="14"/>
      <c r="R31" s="13"/>
      <c r="S31" s="14"/>
      <c r="T31" s="27">
        <f>S31*1</f>
        <v>0</v>
      </c>
      <c r="U31" s="27">
        <f t="shared" si="7"/>
        <v>0</v>
      </c>
      <c r="V31" s="114">
        <v>15</v>
      </c>
      <c r="W31" s="15"/>
      <c r="X31" s="115" t="str">
        <f t="shared" si="2"/>
        <v>OK</v>
      </c>
      <c r="Y31" s="115" t="str">
        <f t="shared" si="3"/>
        <v>OK</v>
      </c>
      <c r="Z31" s="115" t="str">
        <f t="shared" si="4"/>
        <v>OK</v>
      </c>
      <c r="AA31" s="6"/>
      <c r="AB31" s="6"/>
      <c r="AC31" s="115" t="str">
        <f t="shared" si="5"/>
        <v>OK</v>
      </c>
      <c r="AD31" s="6"/>
      <c r="AE31" s="115" t="str">
        <f t="shared" si="6"/>
        <v>OK</v>
      </c>
    </row>
    <row r="32" spans="1:32" ht="19.5" customHeight="1" thickTop="1" thickBot="1">
      <c r="A32" s="163"/>
      <c r="B32" s="158" t="s">
        <v>53</v>
      </c>
      <c r="C32" s="114">
        <v>16</v>
      </c>
      <c r="D32" s="14"/>
      <c r="E32" s="14"/>
      <c r="F32" s="27">
        <f t="shared" si="0"/>
        <v>0</v>
      </c>
      <c r="G32" s="14"/>
      <c r="H32" s="14"/>
      <c r="I32" s="14"/>
      <c r="J32" s="25"/>
      <c r="K32" s="52">
        <f t="shared" si="1"/>
        <v>0</v>
      </c>
      <c r="L32" s="23"/>
      <c r="M32" s="13"/>
      <c r="N32" s="13"/>
      <c r="O32" s="13"/>
      <c r="P32" s="13"/>
      <c r="Q32" s="14"/>
      <c r="R32" s="13"/>
      <c r="S32" s="14"/>
      <c r="T32" s="27">
        <f>S32*1.5</f>
        <v>0</v>
      </c>
      <c r="U32" s="27">
        <f t="shared" si="7"/>
        <v>0</v>
      </c>
      <c r="V32" s="114">
        <v>16</v>
      </c>
      <c r="W32" s="15"/>
      <c r="X32" s="115" t="str">
        <f t="shared" si="2"/>
        <v>OK</v>
      </c>
      <c r="Y32" s="115" t="str">
        <f t="shared" si="3"/>
        <v>OK</v>
      </c>
      <c r="Z32" s="115" t="str">
        <f t="shared" si="4"/>
        <v>OK</v>
      </c>
      <c r="AA32" s="6"/>
      <c r="AB32" s="6"/>
      <c r="AC32" s="115" t="str">
        <f t="shared" si="5"/>
        <v>OK</v>
      </c>
      <c r="AD32" s="6"/>
      <c r="AE32" s="115" t="str">
        <f t="shared" si="6"/>
        <v>OK</v>
      </c>
    </row>
    <row r="33" spans="1:32" ht="19.5" customHeight="1" thickTop="1" thickBot="1">
      <c r="A33" s="163"/>
      <c r="B33" s="158" t="s">
        <v>52</v>
      </c>
      <c r="C33" s="114">
        <v>17</v>
      </c>
      <c r="D33" s="14"/>
      <c r="E33" s="14"/>
      <c r="F33" s="27">
        <f t="shared" si="0"/>
        <v>0</v>
      </c>
      <c r="G33" s="14"/>
      <c r="H33" s="14"/>
      <c r="I33" s="14"/>
      <c r="J33" s="25"/>
      <c r="K33" s="52">
        <f t="shared" si="1"/>
        <v>0</v>
      </c>
      <c r="L33" s="23"/>
      <c r="M33" s="13"/>
      <c r="N33" s="13"/>
      <c r="O33" s="13"/>
      <c r="P33" s="13"/>
      <c r="Q33" s="14"/>
      <c r="R33" s="13"/>
      <c r="S33" s="14"/>
      <c r="T33" s="27">
        <f>S33*1.5</f>
        <v>0</v>
      </c>
      <c r="U33" s="27">
        <f t="shared" si="7"/>
        <v>0</v>
      </c>
      <c r="V33" s="114">
        <v>17</v>
      </c>
      <c r="W33" s="15"/>
      <c r="X33" s="115" t="str">
        <f t="shared" si="2"/>
        <v>OK</v>
      </c>
      <c r="Y33" s="115" t="str">
        <f t="shared" si="3"/>
        <v>OK</v>
      </c>
      <c r="Z33" s="115" t="str">
        <f t="shared" si="4"/>
        <v>OK</v>
      </c>
      <c r="AA33" s="6"/>
      <c r="AB33" s="6"/>
      <c r="AC33" s="115" t="str">
        <f t="shared" si="5"/>
        <v>OK</v>
      </c>
      <c r="AD33" s="6"/>
      <c r="AE33" s="115" t="str">
        <f t="shared" si="6"/>
        <v>OK</v>
      </c>
    </row>
    <row r="34" spans="1:32" ht="20.100000000000001" customHeight="1" thickTop="1" thickBot="1">
      <c r="A34" s="163"/>
      <c r="B34" s="158">
        <v>3.5</v>
      </c>
      <c r="C34" s="114">
        <v>18</v>
      </c>
      <c r="D34" s="14"/>
      <c r="E34" s="14"/>
      <c r="F34" s="27">
        <f t="shared" si="0"/>
        <v>0</v>
      </c>
      <c r="G34" s="14"/>
      <c r="H34" s="14"/>
      <c r="I34" s="14"/>
      <c r="J34" s="25"/>
      <c r="K34" s="52">
        <f t="shared" si="1"/>
        <v>0</v>
      </c>
      <c r="L34" s="23"/>
      <c r="M34" s="13"/>
      <c r="N34" s="13"/>
      <c r="O34" s="13"/>
      <c r="P34" s="13"/>
      <c r="Q34" s="14"/>
      <c r="R34" s="13"/>
      <c r="S34" s="14"/>
      <c r="T34" s="27">
        <f>S34*3.5</f>
        <v>0</v>
      </c>
      <c r="U34" s="27">
        <f t="shared" si="7"/>
        <v>0</v>
      </c>
      <c r="V34" s="114">
        <v>18</v>
      </c>
      <c r="W34" s="15"/>
      <c r="X34" s="115" t="str">
        <f t="shared" si="2"/>
        <v>OK</v>
      </c>
      <c r="Y34" s="115" t="str">
        <f t="shared" si="3"/>
        <v>OK</v>
      </c>
      <c r="Z34" s="115" t="str">
        <f t="shared" si="4"/>
        <v>OK</v>
      </c>
      <c r="AA34" s="6"/>
      <c r="AB34" s="6"/>
      <c r="AC34" s="115" t="str">
        <f t="shared" si="5"/>
        <v>OK</v>
      </c>
      <c r="AD34" s="6"/>
      <c r="AE34" s="115" t="str">
        <f t="shared" si="6"/>
        <v>OK</v>
      </c>
    </row>
    <row r="35" spans="1:32" ht="6" customHeight="1" thickTop="1">
      <c r="A35" s="165"/>
      <c r="B35" s="168"/>
      <c r="C35" s="8"/>
      <c r="D35" s="128"/>
      <c r="E35" s="128"/>
      <c r="F35" s="128"/>
      <c r="G35" s="128"/>
      <c r="H35" s="128"/>
      <c r="I35" s="128"/>
      <c r="J35" s="128"/>
      <c r="K35" s="128"/>
      <c r="L35" s="128"/>
      <c r="M35" s="128"/>
      <c r="N35" s="128"/>
      <c r="O35" s="128"/>
      <c r="P35" s="128"/>
      <c r="Q35" s="128"/>
      <c r="R35" s="128"/>
      <c r="S35" s="128"/>
      <c r="T35" s="128"/>
      <c r="U35" s="128"/>
      <c r="V35" s="8"/>
      <c r="W35" s="149"/>
      <c r="X35" s="149"/>
      <c r="Y35" s="142"/>
      <c r="Z35" s="142"/>
      <c r="AA35" s="6"/>
      <c r="AB35" s="6"/>
      <c r="AC35" s="6"/>
      <c r="AD35" s="6"/>
      <c r="AE35" s="6"/>
      <c r="AF35" s="6"/>
    </row>
    <row r="36" spans="1:32" ht="15" customHeight="1">
      <c r="A36" s="85"/>
      <c r="B36" s="21" t="str">
        <f>"Version: "&amp;D43</f>
        <v>Version: 2.01.E0</v>
      </c>
      <c r="C36" s="85"/>
      <c r="D36" s="85"/>
      <c r="E36" s="85"/>
      <c r="F36" s="85"/>
      <c r="G36" s="85"/>
      <c r="H36" s="85"/>
      <c r="I36" s="85"/>
      <c r="J36" s="85"/>
      <c r="K36" s="85"/>
      <c r="L36" s="85"/>
      <c r="M36" s="85"/>
      <c r="N36" s="85"/>
      <c r="O36" s="85"/>
      <c r="P36" s="85"/>
      <c r="Q36" s="85"/>
      <c r="R36" s="85"/>
      <c r="S36" s="85"/>
      <c r="T36" s="85"/>
      <c r="U36" s="85"/>
      <c r="V36" s="171" t="s">
        <v>157</v>
      </c>
      <c r="W36" s="15"/>
      <c r="X36" s="15"/>
      <c r="Y36" s="149"/>
      <c r="Z36" s="149"/>
      <c r="AA36" s="6"/>
      <c r="AB36" s="6"/>
      <c r="AC36" s="6"/>
      <c r="AD36" s="6"/>
      <c r="AE36" s="6"/>
      <c r="AF36" s="6"/>
    </row>
    <row r="37" spans="1:32" ht="15" customHeight="1">
      <c r="A37"/>
      <c r="B37"/>
      <c r="C37"/>
      <c r="D37"/>
      <c r="E37"/>
      <c r="F37"/>
      <c r="G37"/>
      <c r="H37"/>
      <c r="I37"/>
      <c r="J37"/>
      <c r="K37"/>
      <c r="L37"/>
      <c r="M37"/>
      <c r="N37"/>
      <c r="O37"/>
      <c r="P37"/>
      <c r="Q37"/>
      <c r="R37"/>
      <c r="S37"/>
      <c r="T37"/>
      <c r="U37"/>
      <c r="V37" s="6"/>
      <c r="W37" s="15"/>
      <c r="X37" s="15"/>
      <c r="Y37" s="15"/>
      <c r="Z37" s="15"/>
    </row>
    <row r="38" spans="1:32" ht="15" customHeight="1">
      <c r="Q38" s="57"/>
      <c r="S38" s="57"/>
      <c r="V38" s="6"/>
    </row>
    <row r="39" spans="1:32" ht="15" customHeight="1">
      <c r="Q39" s="57"/>
      <c r="S39" s="57"/>
    </row>
    <row r="40" spans="1:32" ht="15" customHeight="1">
      <c r="B40" s="3"/>
      <c r="C40" s="31" t="s">
        <v>94</v>
      </c>
      <c r="D40" s="16" t="str">
        <f>U2</f>
        <v>XXXXXX</v>
      </c>
    </row>
    <row r="41" spans="1:32" ht="15" customHeight="1">
      <c r="B41" s="5"/>
      <c r="D41" s="17" t="str">
        <f>U1</f>
        <v>CSIB_CRSABIS_02</v>
      </c>
    </row>
    <row r="42" spans="1:32" ht="15" customHeight="1">
      <c r="B42" s="5"/>
      <c r="D42" s="18" t="str">
        <f>U3</f>
        <v>DD.MM.YYYY</v>
      </c>
    </row>
    <row r="43" spans="1:32" ht="15" customHeight="1">
      <c r="B43" s="19"/>
      <c r="D43" s="20" t="s">
        <v>551</v>
      </c>
    </row>
    <row r="44" spans="1:32" ht="15" customHeight="1">
      <c r="B44" s="5"/>
      <c r="D44" s="17" t="str">
        <f>D13</f>
        <v>col. 01</v>
      </c>
    </row>
    <row r="45" spans="1:32" ht="15" customHeight="1">
      <c r="B45" s="10"/>
      <c r="C45" s="8"/>
      <c r="D45" s="59">
        <f>COUNTIF(D49:U54,"ERROR")+COUNTIF(X14:AE35,"ERROR")</f>
        <v>0</v>
      </c>
    </row>
    <row r="46" spans="1:32" ht="16.5" customHeight="1">
      <c r="B46" s="6"/>
      <c r="C46" s="7"/>
      <c r="D46" s="58"/>
    </row>
    <row r="47" spans="1:32">
      <c r="B47" s="6"/>
      <c r="C47" s="7"/>
      <c r="D47" s="56"/>
    </row>
    <row r="48" spans="1:32">
      <c r="D48" s="166" t="s">
        <v>95</v>
      </c>
      <c r="E48" s="166" t="s">
        <v>96</v>
      </c>
      <c r="F48" s="166" t="s">
        <v>97</v>
      </c>
      <c r="G48" s="166" t="s">
        <v>98</v>
      </c>
      <c r="H48" s="166" t="s">
        <v>99</v>
      </c>
      <c r="I48" s="166" t="s">
        <v>100</v>
      </c>
      <c r="J48" s="166" t="s">
        <v>101</v>
      </c>
      <c r="K48" s="166" t="s">
        <v>102</v>
      </c>
      <c r="L48" s="166" t="s">
        <v>103</v>
      </c>
      <c r="M48" s="166" t="s">
        <v>104</v>
      </c>
      <c r="N48" s="166" t="s">
        <v>105</v>
      </c>
      <c r="O48" s="166" t="s">
        <v>106</v>
      </c>
      <c r="P48" s="166" t="s">
        <v>107</v>
      </c>
      <c r="Q48" s="166" t="s">
        <v>108</v>
      </c>
      <c r="R48" s="166" t="s">
        <v>109</v>
      </c>
      <c r="S48" s="166" t="s">
        <v>110</v>
      </c>
      <c r="T48" s="166" t="s">
        <v>111</v>
      </c>
      <c r="U48" s="166" t="s">
        <v>112</v>
      </c>
      <c r="V48" s="85"/>
      <c r="W48" s="85"/>
    </row>
    <row r="49" spans="2:23">
      <c r="B49" s="53" t="s">
        <v>547</v>
      </c>
      <c r="C49" s="54"/>
      <c r="D49" s="115" t="str">
        <f>IF(ROUND(D17+D16,0)=ROUND(D14,0),"OK","ERROR")</f>
        <v>OK</v>
      </c>
      <c r="E49" s="115" t="str">
        <f>IF(ROUND(E17+E16,0)=ROUND(E14,0),"OK","ERROR")</f>
        <v>OK</v>
      </c>
      <c r="F49" s="115" t="str">
        <f>IF(ROUND(F17+F16,0)=ROUND(F14,0),"OK","ERROR")</f>
        <v>OK</v>
      </c>
      <c r="G49" s="115" t="str">
        <f>IF(ROUND(G17,0)=ROUND(G14,0),"OK","ERROR")</f>
        <v>OK</v>
      </c>
      <c r="H49" s="115" t="str">
        <f>IF(ROUND(H17,0)=ROUND(H14,0),"OK","ERROR")</f>
        <v>OK</v>
      </c>
      <c r="I49" s="115" t="str">
        <f>IF(ROUND(I17,0)=ROUND(I14,0),"OK","ERROR")</f>
        <v>OK</v>
      </c>
      <c r="J49" s="115" t="str">
        <f>IF(ROUND(J17,0)=ROUND(J14,0),"OK","ERROR")</f>
        <v>OK</v>
      </c>
      <c r="K49" s="115" t="str">
        <f>IF(AND(ROUND(K16+K17,0)=ROUND(K14,0),ROUND(K14,0)=ROUND(K19+K20+K21+K23+K24+K26+K28+K32+K34,0)),"OK","ERROR")</f>
        <v>OK</v>
      </c>
      <c r="L49" s="85"/>
      <c r="M49" s="85"/>
      <c r="N49" s="85"/>
      <c r="O49" s="85"/>
      <c r="P49" s="85"/>
      <c r="Q49" s="115" t="str">
        <f>IF(AND(ROUND(Q17+Q16,0)=ROUND(Q14,0),ROUND(K14+O14+P14,0)=ROUND(Q14,0)),"OK","ERROR")</f>
        <v>OK</v>
      </c>
      <c r="R49" s="85"/>
      <c r="S49" s="115" t="str">
        <f>IF(AND(ROUND(S17+S16,0)=ROUND(S14,0),ROUND(Q14+R14,0)=ROUND(S14,0)),"OK","ERROR")</f>
        <v>OK</v>
      </c>
      <c r="T49" s="115" t="str">
        <f>IF(ROUND(T17+T16,0)=ROUND(T14,0),"OK","ERROR")</f>
        <v>OK</v>
      </c>
      <c r="U49" s="115" t="str">
        <f>IF(ROUND(U17+U16,0)=ROUND(U14,0),"OK","ERROR")</f>
        <v>OK</v>
      </c>
      <c r="V49" s="85"/>
      <c r="W49" s="85"/>
    </row>
    <row r="50" spans="2:23">
      <c r="B50" s="53" t="s">
        <v>548</v>
      </c>
      <c r="C50" s="55"/>
      <c r="D50" s="115" t="str">
        <f>IF(ROUND(D22,0)&lt;=ROUND(D21,0),"OK","ERROR")</f>
        <v>OK</v>
      </c>
      <c r="E50" s="115" t="str">
        <f>IF(ROUND(E22,0)&gt;=ROUND(E21,0),"OK","ERROR")</f>
        <v>OK</v>
      </c>
      <c r="F50" s="115" t="str">
        <f t="shared" ref="F50:K50" si="8">IF(ROUND(F22,0)&lt;=ROUND(F21,0),"OK","ERROR")</f>
        <v>OK</v>
      </c>
      <c r="G50" s="115" t="str">
        <f t="shared" si="8"/>
        <v>OK</v>
      </c>
      <c r="H50" s="115" t="str">
        <f t="shared" si="8"/>
        <v>OK</v>
      </c>
      <c r="I50" s="115" t="str">
        <f t="shared" si="8"/>
        <v>OK</v>
      </c>
      <c r="J50" s="115" t="str">
        <f t="shared" si="8"/>
        <v>OK</v>
      </c>
      <c r="K50" s="115" t="str">
        <f t="shared" si="8"/>
        <v>OK</v>
      </c>
      <c r="L50" s="85"/>
      <c r="M50" s="85"/>
      <c r="N50" s="85"/>
      <c r="O50" s="85"/>
      <c r="P50" s="85"/>
      <c r="Q50" s="115" t="str">
        <f>IF(ROUND(Q22,0)&lt;=ROUND(Q21,0),"OK","ERROR")</f>
        <v>OK</v>
      </c>
      <c r="R50" s="85"/>
      <c r="S50" s="115" t="str">
        <f>IF(ROUND(S22,0)&lt;=ROUND(S21,0),"OK","ERROR")</f>
        <v>OK</v>
      </c>
      <c r="T50" s="115" t="str">
        <f>IF(ROUND(T22,0)&lt;=ROUND(T21,0),"OK","ERROR")</f>
        <v>OK</v>
      </c>
      <c r="U50" s="115" t="str">
        <f>IF(ROUND(U22,0)&lt;=ROUND(U21,0),"OK","ERROR")</f>
        <v>OK</v>
      </c>
      <c r="V50" s="85"/>
      <c r="W50" s="85"/>
    </row>
    <row r="51" spans="2:23">
      <c r="B51" s="288" t="s">
        <v>549</v>
      </c>
      <c r="C51" s="55"/>
      <c r="D51" s="115" t="str">
        <f>IF(ROUND(D25,0)&lt;=ROUND(D24,0),"OK","ERROR")</f>
        <v>OK</v>
      </c>
      <c r="E51" s="115" t="str">
        <f>IF(ROUND(E25,0)&gt;=ROUND(E24,0),"OK","ERROR")</f>
        <v>OK</v>
      </c>
      <c r="F51" s="115" t="str">
        <f t="shared" ref="F51:K51" si="9">IF(ROUND(F25,0)&lt;=ROUND(F24,0),"OK","ERROR")</f>
        <v>OK</v>
      </c>
      <c r="G51" s="115" t="str">
        <f t="shared" si="9"/>
        <v>OK</v>
      </c>
      <c r="H51" s="115" t="str">
        <f t="shared" si="9"/>
        <v>OK</v>
      </c>
      <c r="I51" s="115" t="str">
        <f t="shared" si="9"/>
        <v>OK</v>
      </c>
      <c r="J51" s="115" t="str">
        <f t="shared" si="9"/>
        <v>OK</v>
      </c>
      <c r="K51" s="115" t="str">
        <f t="shared" si="9"/>
        <v>OK</v>
      </c>
      <c r="L51" s="278"/>
      <c r="M51" s="278"/>
      <c r="N51" s="278"/>
      <c r="O51" s="278"/>
      <c r="P51" s="278"/>
      <c r="Q51" s="115" t="str">
        <f>IF(ROUND(Q25,0)&lt;=ROUND(Q24,0),"OK","ERROR")</f>
        <v>OK</v>
      </c>
      <c r="R51" s="278"/>
      <c r="S51" s="115" t="str">
        <f>IF(ROUND(S25,0)&lt;=ROUND(S24,0),"OK","ERROR")</f>
        <v>OK</v>
      </c>
      <c r="T51" s="115" t="str">
        <f>IF(ROUND(T25,0)&lt;=ROUND(T24,0),"OK","ERROR")</f>
        <v>OK</v>
      </c>
      <c r="U51" s="115" t="str">
        <f>IF(ROUND(U25,0)&lt;=ROUND(U24,0),"OK","ERROR")</f>
        <v>OK</v>
      </c>
      <c r="V51" s="85"/>
      <c r="W51" s="85"/>
    </row>
    <row r="52" spans="2:23">
      <c r="B52" s="288" t="s">
        <v>553</v>
      </c>
      <c r="C52" s="55"/>
      <c r="D52" s="115" t="str">
        <f>IF(ROUND(D27,0)&lt;=ROUND(D26,0),"OK","ERROR")</f>
        <v>OK</v>
      </c>
      <c r="E52" s="115" t="str">
        <f>IF(ROUND(E27,0)&gt;=ROUND(E26,0),"OK","ERROR")</f>
        <v>OK</v>
      </c>
      <c r="F52" s="115" t="str">
        <f t="shared" ref="F52:K52" si="10">IF(ROUND(F27,0)&lt;=ROUND(F26,0),"OK","ERROR")</f>
        <v>OK</v>
      </c>
      <c r="G52" s="115" t="str">
        <f t="shared" si="10"/>
        <v>OK</v>
      </c>
      <c r="H52" s="115" t="str">
        <f t="shared" si="10"/>
        <v>OK</v>
      </c>
      <c r="I52" s="115" t="str">
        <f t="shared" si="10"/>
        <v>OK</v>
      </c>
      <c r="J52" s="115" t="str">
        <f t="shared" si="10"/>
        <v>OK</v>
      </c>
      <c r="K52" s="115" t="str">
        <f t="shared" si="10"/>
        <v>OK</v>
      </c>
      <c r="L52" s="278"/>
      <c r="M52" s="278"/>
      <c r="N52" s="278"/>
      <c r="O52" s="278"/>
      <c r="P52" s="278"/>
      <c r="Q52" s="115" t="str">
        <f>IF(ROUND(Q27,0)&lt;=ROUND(Q26,0),"OK","ERROR")</f>
        <v>OK</v>
      </c>
      <c r="R52" s="278"/>
      <c r="S52" s="115" t="str">
        <f>IF(ROUND(S27,0)&lt;=ROUND(S26,0),"OK","ERROR")</f>
        <v>OK</v>
      </c>
      <c r="T52" s="115" t="str">
        <f>IF(ROUND(T27,0)&lt;=ROUND(T26,0),"OK","ERROR")</f>
        <v>OK</v>
      </c>
      <c r="U52" s="115" t="str">
        <f>IF(ROUND(U27,0)&lt;=ROUND(U26,0),"OK","ERROR")</f>
        <v>OK</v>
      </c>
      <c r="V52" s="278"/>
      <c r="W52" s="278"/>
    </row>
    <row r="53" spans="2:23">
      <c r="B53" s="290"/>
      <c r="C53" s="278"/>
      <c r="D53" s="278"/>
      <c r="E53" s="278"/>
      <c r="F53" s="278"/>
      <c r="G53" s="278"/>
      <c r="H53" s="278"/>
      <c r="I53" s="278"/>
      <c r="J53" s="278"/>
      <c r="K53" s="278"/>
      <c r="L53" s="278"/>
      <c r="M53" s="278"/>
      <c r="N53" s="278"/>
      <c r="O53" s="278"/>
      <c r="P53" s="278"/>
      <c r="Q53" s="278"/>
      <c r="R53" s="278"/>
      <c r="S53" s="278"/>
      <c r="T53" s="278"/>
      <c r="U53" s="278"/>
      <c r="V53" s="85"/>
      <c r="W53" s="85"/>
    </row>
    <row r="54" spans="2:23">
      <c r="B54" s="53" t="s">
        <v>550</v>
      </c>
      <c r="C54" s="55"/>
      <c r="D54" s="115" t="str">
        <f>IF(ROUND(D33,0)&lt;=ROUND(D32,0),"OK","ERROR")</f>
        <v>OK</v>
      </c>
      <c r="E54" s="115" t="str">
        <f>IF(ROUND(E33,0)&gt;=ROUND(E32,0),"OK","ERROR")</f>
        <v>OK</v>
      </c>
      <c r="F54" s="115" t="str">
        <f t="shared" ref="F54:K54" si="11">IF(ROUND(F33,0)&lt;=ROUND(F32,0),"OK","ERROR")</f>
        <v>OK</v>
      </c>
      <c r="G54" s="115" t="str">
        <f t="shared" si="11"/>
        <v>OK</v>
      </c>
      <c r="H54" s="115" t="str">
        <f t="shared" si="11"/>
        <v>OK</v>
      </c>
      <c r="I54" s="115" t="str">
        <f t="shared" si="11"/>
        <v>OK</v>
      </c>
      <c r="J54" s="115" t="str">
        <f t="shared" si="11"/>
        <v>OK</v>
      </c>
      <c r="K54" s="115" t="str">
        <f t="shared" si="11"/>
        <v>OK</v>
      </c>
      <c r="L54" s="85"/>
      <c r="M54" s="85"/>
      <c r="N54" s="85"/>
      <c r="O54" s="85"/>
      <c r="P54" s="85"/>
      <c r="Q54" s="115" t="str">
        <f>IF(ROUND(Q33,0)&lt;=ROUND(Q32,0),"OK","ERROR")</f>
        <v>OK</v>
      </c>
      <c r="R54" s="85"/>
      <c r="S54" s="115" t="str">
        <f>IF(ROUND(S33,0)&lt;=ROUND(S32,0),"OK","ERROR")</f>
        <v>OK</v>
      </c>
      <c r="T54" s="115" t="str">
        <f>IF(ROUND(T33,0)&lt;=ROUND(T32,0),"OK","ERROR")</f>
        <v>OK</v>
      </c>
      <c r="U54" s="115" t="str">
        <f>IF(ROUND(U33,0)&lt;=ROUND(U32,0),"OK","ERROR")</f>
        <v>OK</v>
      </c>
      <c r="V54" s="85"/>
      <c r="W54" s="85"/>
    </row>
    <row r="55" spans="2:23">
      <c r="V55" s="85"/>
      <c r="W55" s="85"/>
    </row>
  </sheetData>
  <sheetProtection sheet="1" objects="1" scenarios="1"/>
  <customSheetViews>
    <customSheetView guid="{4435029F-2F1B-45E2-BFDE-13E66716A0E9}" scale="80" showGridLines="0" showRowCol="0" zeroValues="0">
      <pane xSplit="3" ySplit="13" topLeftCell="D35" activePane="bottomRight" state="frozen"/>
      <selection pane="bottomRight" activeCell="L14" sqref="L14"/>
      <colBreaks count="1" manualBreakCount="1">
        <brk id="11" max="34" man="1"/>
      </colBreaks>
      <pageMargins left="0.39370078740157483" right="0.39370078740157483" top="0.39370078740157483" bottom="0.39370078740157483" header="0.19685039370078741" footer="0"/>
      <pageSetup paperSize="9" scale="54" orientation="landscape" r:id="rId1"/>
      <headerFooter alignWithMargins="0">
        <oddFooter>&amp;L&amp;"Arial,Fett"SNB Confidential&amp;C&amp;D&amp;RPage &amp;P</oddFooter>
      </headerFooter>
    </customSheetView>
  </customSheetViews>
  <mergeCells count="2">
    <mergeCell ref="M2:Q2"/>
    <mergeCell ref="E2:I2"/>
  </mergeCells>
  <phoneticPr fontId="10" type="noConversion"/>
  <conditionalFormatting sqref="D25">
    <cfRule type="cellIs" dxfId="5" priority="3" stopIfTrue="1" operator="equal">
      <formula>$D$49="ERROR"</formula>
    </cfRule>
  </conditionalFormatting>
  <pageMargins left="0.39370078740157483" right="0.39370078740157483" top="0.39370078740157483" bottom="0.39370078740157483" header="0.19685039370078741" footer="0"/>
  <pageSetup paperSize="9" scale="54" orientation="landscape" r:id="rId2"/>
  <headerFooter alignWithMargins="0">
    <oddFooter>&amp;L&amp;"Arial,Fett"SNB Confidential&amp;C&amp;D&amp;RPage &amp;P</oddFooter>
  </headerFooter>
  <colBreaks count="1" manualBreakCount="1">
    <brk id="11" max="34" man="1"/>
  </col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F55"/>
  <sheetViews>
    <sheetView showGridLines="0" showRowColHeaders="0" showZeros="0" zoomScale="80" zoomScaleNormal="80" workbookViewId="0">
      <pane xSplit="3" ySplit="13" topLeftCell="D14" activePane="bottomRight" state="frozen"/>
      <selection activeCell="K50" sqref="K50"/>
      <selection pane="topRight" activeCell="K50" sqref="K50"/>
      <selection pane="bottomLeft" activeCell="K50" sqref="K50"/>
      <selection pane="bottomRight" activeCell="L14" sqref="L14"/>
    </sheetView>
  </sheetViews>
  <sheetFormatPr baseColWidth="10" defaultColWidth="11.42578125" defaultRowHeight="12.75"/>
  <cols>
    <col min="1" max="1" width="8.42578125" style="4" customWidth="1"/>
    <col min="2" max="2" width="39.28515625" style="4" customWidth="1"/>
    <col min="3" max="3" width="4.7109375" style="4" customWidth="1"/>
    <col min="4" max="6" width="20.28515625" style="4" customWidth="1"/>
    <col min="7" max="7" width="15.7109375" style="4" customWidth="1"/>
    <col min="8" max="8" width="16.28515625" style="4" customWidth="1"/>
    <col min="9" max="9" width="15.7109375" style="4" customWidth="1"/>
    <col min="10" max="10" width="17.5703125" style="4" customWidth="1"/>
    <col min="11" max="11" width="24.85546875" style="4" customWidth="1"/>
    <col min="12" max="16" width="17.7109375" style="4" customWidth="1"/>
    <col min="17" max="20" width="20.28515625" style="4" customWidth="1"/>
    <col min="21" max="21" width="24.85546875" style="4" customWidth="1"/>
    <col min="22" max="22" width="4.7109375" style="4" customWidth="1"/>
    <col min="23" max="25" width="11.42578125" style="4" customWidth="1"/>
    <col min="26" max="26" width="21.5703125" style="4" customWidth="1"/>
    <col min="27" max="30" width="11.42578125" style="4" customWidth="1"/>
    <col min="31" max="31" width="21.5703125" style="4" customWidth="1"/>
    <col min="32" max="16384" width="11.42578125" style="4"/>
  </cols>
  <sheetData>
    <row r="1" spans="1:31" ht="20.25" customHeight="1">
      <c r="A1" s="6"/>
      <c r="B1" s="6"/>
      <c r="C1" s="6"/>
      <c r="E1" s="12" t="s">
        <v>46</v>
      </c>
      <c r="G1" s="11"/>
      <c r="H1" s="11"/>
      <c r="I1" s="11"/>
      <c r="J1" s="126" t="s">
        <v>61</v>
      </c>
      <c r="K1" s="305" t="s">
        <v>605</v>
      </c>
      <c r="L1" s="11"/>
      <c r="M1" s="12" t="s">
        <v>46</v>
      </c>
      <c r="N1" s="11"/>
      <c r="O1" s="11"/>
      <c r="P1" s="11"/>
      <c r="Q1" s="11"/>
      <c r="R1" s="11"/>
      <c r="S1" s="11"/>
      <c r="T1" s="126" t="s">
        <v>61</v>
      </c>
      <c r="U1" s="305" t="str">
        <f>K1</f>
        <v>CSIB_CRSABIS_03</v>
      </c>
      <c r="V1" s="11"/>
    </row>
    <row r="2" spans="1:31" ht="20.25" customHeight="1">
      <c r="A2" s="6"/>
      <c r="B2" s="11"/>
      <c r="C2" s="6"/>
      <c r="E2" s="669" t="s">
        <v>620</v>
      </c>
      <c r="F2" s="669"/>
      <c r="G2" s="669"/>
      <c r="H2" s="669"/>
      <c r="I2" s="669"/>
      <c r="J2" s="126" t="s">
        <v>1224</v>
      </c>
      <c r="K2" s="300" t="str">
        <f>'Delivery note'!H3</f>
        <v>XXXXXX</v>
      </c>
      <c r="L2" s="11"/>
      <c r="M2" s="669" t="s">
        <v>620</v>
      </c>
      <c r="N2" s="669"/>
      <c r="O2" s="669"/>
      <c r="P2" s="669"/>
      <c r="Q2" s="669"/>
      <c r="R2" s="11"/>
      <c r="S2" s="11"/>
      <c r="T2" s="126" t="s">
        <v>1224</v>
      </c>
      <c r="U2" s="300" t="str">
        <f>K2</f>
        <v>XXXXXX</v>
      </c>
      <c r="V2" s="11"/>
    </row>
    <row r="3" spans="1:31" ht="20.25" customHeight="1">
      <c r="A3" s="6"/>
      <c r="B3" s="11"/>
      <c r="C3" s="6"/>
      <c r="E3" s="144" t="s">
        <v>601</v>
      </c>
      <c r="G3" s="11"/>
      <c r="I3" s="85"/>
      <c r="J3" s="126" t="s">
        <v>546</v>
      </c>
      <c r="K3" s="306" t="str">
        <f>'Delivery note'!H4</f>
        <v>DD.MM.YYYY</v>
      </c>
      <c r="L3" s="11"/>
      <c r="M3" s="144" t="s">
        <v>601</v>
      </c>
      <c r="N3" s="6"/>
      <c r="O3" s="11"/>
      <c r="P3" s="11"/>
      <c r="Q3" s="11"/>
      <c r="R3" s="11"/>
      <c r="S3" s="11"/>
      <c r="T3" s="126" t="s">
        <v>546</v>
      </c>
      <c r="U3" s="306" t="str">
        <f>K3</f>
        <v>DD.MM.YYYY</v>
      </c>
      <c r="V3" s="11"/>
    </row>
    <row r="4" spans="1:31" ht="20.100000000000001" customHeight="1">
      <c r="A4" s="6"/>
      <c r="B4" s="11"/>
      <c r="C4" s="6"/>
      <c r="E4" s="145" t="s">
        <v>54</v>
      </c>
      <c r="H4" s="11"/>
      <c r="I4" s="85"/>
      <c r="J4" s="48"/>
      <c r="K4" s="116"/>
      <c r="L4" s="11"/>
      <c r="M4" s="145" t="s">
        <v>54</v>
      </c>
      <c r="N4" s="11"/>
      <c r="O4" s="11"/>
      <c r="P4" s="11"/>
      <c r="Q4" s="11"/>
      <c r="R4" s="11"/>
      <c r="S4" s="11"/>
      <c r="T4" s="11"/>
      <c r="U4" s="11"/>
      <c r="V4" s="11"/>
    </row>
    <row r="5" spans="1:31" ht="20.100000000000001" customHeight="1">
      <c r="A5" s="6"/>
      <c r="B5" s="11"/>
      <c r="C5" s="6"/>
      <c r="E5" s="146" t="s">
        <v>140</v>
      </c>
      <c r="F5" s="11"/>
      <c r="G5" s="11"/>
      <c r="H5" s="11"/>
      <c r="I5" s="11"/>
      <c r="J5" s="11"/>
      <c r="K5" s="11"/>
      <c r="L5" s="11"/>
      <c r="M5" s="146" t="s">
        <v>140</v>
      </c>
      <c r="N5" s="11"/>
      <c r="O5" s="11"/>
      <c r="P5" s="11"/>
      <c r="Q5" s="11"/>
      <c r="R5" s="11"/>
      <c r="S5" s="11"/>
      <c r="T5" s="11"/>
      <c r="U5" s="11"/>
      <c r="V5" s="11"/>
    </row>
    <row r="6" spans="1:31" ht="20.100000000000001" customHeight="1">
      <c r="A6" s="6"/>
      <c r="B6" s="11"/>
      <c r="C6" s="6"/>
      <c r="D6" s="6"/>
      <c r="E6" s="4" t="s">
        <v>6</v>
      </c>
      <c r="M6" s="4" t="s">
        <v>6</v>
      </c>
    </row>
    <row r="7" spans="1:31" ht="20.100000000000001" customHeight="1">
      <c r="A7" s="8"/>
      <c r="B7" s="11"/>
      <c r="C7" s="8"/>
      <c r="D7" s="8"/>
      <c r="F7" s="11"/>
      <c r="G7" s="11"/>
      <c r="H7" s="11"/>
      <c r="I7" s="11"/>
      <c r="J7" s="49"/>
      <c r="K7" s="49"/>
      <c r="L7" s="11"/>
      <c r="N7" s="49"/>
      <c r="O7" s="11"/>
      <c r="P7" s="11"/>
      <c r="Q7" s="11"/>
      <c r="R7" s="11"/>
      <c r="S7" s="11"/>
      <c r="T7" s="11"/>
      <c r="U7" s="11"/>
      <c r="V7" s="49"/>
    </row>
    <row r="8" spans="1:31" ht="14.25" customHeight="1">
      <c r="A8" s="161"/>
      <c r="B8" s="41"/>
      <c r="C8" s="151"/>
      <c r="D8" s="28" t="s">
        <v>8</v>
      </c>
      <c r="E8" s="28" t="s">
        <v>15</v>
      </c>
      <c r="F8" s="47" t="s">
        <v>19</v>
      </c>
      <c r="G8" s="34" t="s">
        <v>55</v>
      </c>
      <c r="H8" s="42"/>
      <c r="I8" s="42"/>
      <c r="J8" s="62"/>
      <c r="K8" s="35" t="s">
        <v>19</v>
      </c>
      <c r="L8" s="42" t="s">
        <v>26</v>
      </c>
      <c r="M8" s="38"/>
      <c r="N8" s="38"/>
      <c r="O8" s="38"/>
      <c r="P8" s="35"/>
      <c r="Q8" s="30" t="s">
        <v>33</v>
      </c>
      <c r="R8" s="30" t="s">
        <v>37</v>
      </c>
      <c r="S8" s="30" t="s">
        <v>42</v>
      </c>
      <c r="T8" s="46" t="s">
        <v>44</v>
      </c>
      <c r="U8" s="30" t="s">
        <v>13</v>
      </c>
      <c r="V8" s="151"/>
      <c r="W8" s="22"/>
      <c r="X8" s="22"/>
      <c r="Y8" s="6"/>
      <c r="Z8" s="6"/>
    </row>
    <row r="9" spans="1:31" ht="14.25" customHeight="1">
      <c r="A9" s="162"/>
      <c r="B9" s="12"/>
      <c r="C9" s="152"/>
      <c r="D9" s="29" t="s">
        <v>9</v>
      </c>
      <c r="E9" s="29" t="s">
        <v>16</v>
      </c>
      <c r="F9" s="44" t="s">
        <v>20</v>
      </c>
      <c r="G9" s="63" t="s">
        <v>56</v>
      </c>
      <c r="H9" s="64"/>
      <c r="I9" s="64"/>
      <c r="J9" s="43"/>
      <c r="K9" s="43" t="s">
        <v>20</v>
      </c>
      <c r="L9" s="33"/>
      <c r="M9" s="33"/>
      <c r="N9" s="33"/>
      <c r="O9" s="40"/>
      <c r="P9" s="37"/>
      <c r="Q9" s="32" t="s">
        <v>34</v>
      </c>
      <c r="R9" s="32" t="s">
        <v>38</v>
      </c>
      <c r="S9" s="32" t="s">
        <v>43</v>
      </c>
      <c r="T9" s="29" t="s">
        <v>45</v>
      </c>
      <c r="U9" s="29" t="s">
        <v>14</v>
      </c>
      <c r="V9" s="152"/>
      <c r="W9" s="22"/>
      <c r="X9" s="22"/>
      <c r="Y9" s="6"/>
      <c r="Z9" s="6"/>
    </row>
    <row r="10" spans="1:31" ht="14.25" customHeight="1">
      <c r="A10" s="162"/>
      <c r="B10" s="12"/>
      <c r="C10" s="152"/>
      <c r="D10" s="29" t="s">
        <v>7</v>
      </c>
      <c r="E10" s="29" t="s">
        <v>17</v>
      </c>
      <c r="F10" s="44" t="s">
        <v>21</v>
      </c>
      <c r="G10" s="63"/>
      <c r="H10" s="65"/>
      <c r="I10" s="65"/>
      <c r="J10" s="66"/>
      <c r="K10" s="43" t="s">
        <v>24</v>
      </c>
      <c r="L10" s="42" t="s">
        <v>27</v>
      </c>
      <c r="M10" s="35"/>
      <c r="N10" s="43" t="s">
        <v>30</v>
      </c>
      <c r="O10" s="34" t="s">
        <v>11</v>
      </c>
      <c r="P10" s="35"/>
      <c r="Q10" s="32" t="s">
        <v>35</v>
      </c>
      <c r="R10" s="32" t="s">
        <v>39</v>
      </c>
      <c r="S10" s="32" t="s">
        <v>119</v>
      </c>
      <c r="T10" s="32"/>
      <c r="U10" s="32" t="s">
        <v>58</v>
      </c>
      <c r="V10" s="152"/>
      <c r="W10" s="22"/>
      <c r="X10" s="22"/>
      <c r="Y10" s="6"/>
      <c r="Z10" s="6"/>
    </row>
    <row r="11" spans="1:31" ht="14.25" customHeight="1">
      <c r="A11" s="162"/>
      <c r="B11" s="12"/>
      <c r="C11" s="152"/>
      <c r="D11" s="29"/>
      <c r="E11" s="29" t="s">
        <v>18</v>
      </c>
      <c r="F11" s="44" t="s">
        <v>22</v>
      </c>
      <c r="G11" s="36"/>
      <c r="H11" s="40"/>
      <c r="I11" s="45"/>
      <c r="J11" s="37"/>
      <c r="K11" s="43" t="s">
        <v>25</v>
      </c>
      <c r="L11" s="45" t="s">
        <v>28</v>
      </c>
      <c r="M11" s="37"/>
      <c r="N11" s="37" t="s">
        <v>12</v>
      </c>
      <c r="O11" s="39" t="s">
        <v>10</v>
      </c>
      <c r="P11" s="37"/>
      <c r="Q11" s="32" t="s">
        <v>36</v>
      </c>
      <c r="R11" s="32" t="s">
        <v>40</v>
      </c>
      <c r="T11" s="32"/>
      <c r="U11" s="32" t="s">
        <v>162</v>
      </c>
      <c r="V11" s="152"/>
      <c r="W11" s="22"/>
      <c r="X11" s="22"/>
      <c r="Y11" s="6"/>
      <c r="Z11" s="6"/>
    </row>
    <row r="12" spans="1:31" ht="68.25" customHeight="1">
      <c r="A12" s="6"/>
      <c r="B12" s="6"/>
      <c r="C12" s="152"/>
      <c r="D12" s="32"/>
      <c r="E12" s="32" t="s">
        <v>160</v>
      </c>
      <c r="F12" s="44" t="s">
        <v>23</v>
      </c>
      <c r="G12" s="174" t="s">
        <v>5</v>
      </c>
      <c r="H12" s="175">
        <v>0.2</v>
      </c>
      <c r="I12" s="176">
        <v>0.5</v>
      </c>
      <c r="J12" s="175">
        <v>1</v>
      </c>
      <c r="K12" s="43" t="s">
        <v>60</v>
      </c>
      <c r="L12" s="177" t="s">
        <v>1</v>
      </c>
      <c r="M12" s="178" t="s">
        <v>29</v>
      </c>
      <c r="N12" s="178" t="s">
        <v>31</v>
      </c>
      <c r="O12" s="32" t="s">
        <v>161</v>
      </c>
      <c r="P12" s="32" t="s">
        <v>32</v>
      </c>
      <c r="Q12" s="32" t="s">
        <v>57</v>
      </c>
      <c r="R12" s="32" t="s">
        <v>41</v>
      </c>
      <c r="S12" s="32"/>
      <c r="T12" s="32"/>
      <c r="U12" s="32"/>
      <c r="V12" s="152"/>
      <c r="W12" s="9"/>
      <c r="X12" s="9"/>
      <c r="Y12" s="9"/>
      <c r="Z12" s="9"/>
    </row>
    <row r="13" spans="1:31" ht="20.100000000000001" customHeight="1">
      <c r="A13" s="11"/>
      <c r="B13" s="49"/>
      <c r="C13" s="153"/>
      <c r="D13" s="179" t="s">
        <v>95</v>
      </c>
      <c r="E13" s="179" t="s">
        <v>96</v>
      </c>
      <c r="F13" s="179" t="s">
        <v>97</v>
      </c>
      <c r="G13" s="179" t="s">
        <v>98</v>
      </c>
      <c r="H13" s="179" t="s">
        <v>99</v>
      </c>
      <c r="I13" s="179" t="s">
        <v>100</v>
      </c>
      <c r="J13" s="179" t="s">
        <v>101</v>
      </c>
      <c r="K13" s="179" t="s">
        <v>102</v>
      </c>
      <c r="L13" s="179" t="s">
        <v>103</v>
      </c>
      <c r="M13" s="179" t="s">
        <v>104</v>
      </c>
      <c r="N13" s="179" t="s">
        <v>105</v>
      </c>
      <c r="O13" s="179" t="s">
        <v>106</v>
      </c>
      <c r="P13" s="179" t="s">
        <v>107</v>
      </c>
      <c r="Q13" s="179" t="s">
        <v>108</v>
      </c>
      <c r="R13" s="179" t="s">
        <v>109</v>
      </c>
      <c r="S13" s="179" t="s">
        <v>110</v>
      </c>
      <c r="T13" s="179" t="s">
        <v>111</v>
      </c>
      <c r="U13" s="179" t="s">
        <v>112</v>
      </c>
      <c r="V13" s="153"/>
      <c r="X13" s="6" t="s">
        <v>131</v>
      </c>
      <c r="Y13" s="6" t="s">
        <v>132</v>
      </c>
      <c r="Z13" s="6" t="s">
        <v>133</v>
      </c>
      <c r="AA13" s="6" t="s">
        <v>113</v>
      </c>
      <c r="AB13" s="6" t="s">
        <v>114</v>
      </c>
      <c r="AC13" s="6" t="s">
        <v>117</v>
      </c>
      <c r="AD13" s="6" t="s">
        <v>115</v>
      </c>
      <c r="AE13" s="6" t="s">
        <v>118</v>
      </c>
    </row>
    <row r="14" spans="1:31" ht="20.100000000000001" customHeight="1" thickBot="1">
      <c r="A14" s="185"/>
      <c r="B14" s="154" t="s">
        <v>2</v>
      </c>
      <c r="C14" s="114">
        <v>1</v>
      </c>
      <c r="D14" s="27">
        <f>SUM(D19:D21,D23:D24,D26,D28,D32,D34)</f>
        <v>0</v>
      </c>
      <c r="E14" s="279">
        <f>SUM(E19:E21,E23:E24,E26,E28,E32,E34)</f>
        <v>0</v>
      </c>
      <c r="F14" s="27">
        <f>D14+E14</f>
        <v>0</v>
      </c>
      <c r="G14" s="279">
        <f>SUM(G19:G21,G23:G24,G26,G28,G32,G34)</f>
        <v>0</v>
      </c>
      <c r="H14" s="279">
        <f>SUM(H19:H21,H23:H24,H26,H28,H32,H34)</f>
        <v>0</v>
      </c>
      <c r="I14" s="279">
        <f>SUM(I19:I21,I23:I24,I26,I28,I32,I34)</f>
        <v>0</v>
      </c>
      <c r="J14" s="279">
        <f>SUM(J19:J21,J23:J24,J26,J28,J32,J34)</f>
        <v>0</v>
      </c>
      <c r="K14" s="51">
        <f>F14-G14-0.8*H14-0.5*I14</f>
        <v>0</v>
      </c>
      <c r="L14" s="50"/>
      <c r="M14" s="14"/>
      <c r="N14" s="25"/>
      <c r="O14" s="27">
        <f>(L14+M14+N14)*-1</f>
        <v>0</v>
      </c>
      <c r="P14" s="14"/>
      <c r="Q14" s="279">
        <f>SUM(Q19:Q21,Q23:Q24,Q26,Q28,Q32,Q34)</f>
        <v>0</v>
      </c>
      <c r="R14" s="14"/>
      <c r="S14" s="279">
        <f>SUM(S19:S21,S23:S24,S26,S28,S32,S34)</f>
        <v>0</v>
      </c>
      <c r="T14" s="279">
        <f>SUM(T19:T21,T23:T24,T26,T28,T32,T34)</f>
        <v>0</v>
      </c>
      <c r="U14" s="27">
        <f>T14*0.08</f>
        <v>0</v>
      </c>
      <c r="V14" s="114">
        <v>1</v>
      </c>
      <c r="W14" s="15"/>
      <c r="X14" s="180" t="str">
        <f>IF(D14&gt;=0,"OK","ERROR")</f>
        <v>OK</v>
      </c>
      <c r="Y14" s="180" t="str">
        <f>IF(E14&lt;=0,"OK","ERROR")</f>
        <v>OK</v>
      </c>
      <c r="Z14" s="180" t="str">
        <f>IF(MIN(F14:N14)&gt;=0,"OK","ERROR")</f>
        <v>OK</v>
      </c>
      <c r="AA14" s="180" t="str">
        <f>IF(O14&lt;=0,"OK","ERROR")</f>
        <v>OK</v>
      </c>
      <c r="AB14" s="180" t="str">
        <f>IF(P14&gt;=0,"OK","ERROR")</f>
        <v>OK</v>
      </c>
      <c r="AC14" s="180" t="str">
        <f>IF(Q14&gt;=0,"OK","ERROR")</f>
        <v>OK</v>
      </c>
      <c r="AD14" s="180" t="str">
        <f>IF(R14&lt;=0,"OK","ERROR")</f>
        <v>OK</v>
      </c>
      <c r="AE14" s="180" t="str">
        <f>IF(MIN(S14:U14)&gt;=0,"OK","ERROR")</f>
        <v>OK</v>
      </c>
    </row>
    <row r="15" spans="1:31" ht="30" customHeight="1" thickTop="1">
      <c r="A15" s="163"/>
      <c r="B15" s="155" t="s">
        <v>116</v>
      </c>
      <c r="C15" s="114"/>
      <c r="D15" s="143"/>
      <c r="E15" s="143"/>
      <c r="F15" s="143"/>
      <c r="G15" s="143"/>
      <c r="H15" s="143"/>
      <c r="I15" s="143"/>
      <c r="J15" s="143"/>
      <c r="K15" s="143"/>
      <c r="L15" s="143"/>
      <c r="M15" s="143"/>
      <c r="N15" s="143"/>
      <c r="O15" s="143"/>
      <c r="P15" s="143"/>
      <c r="Q15" s="143"/>
      <c r="R15" s="143"/>
      <c r="S15" s="143"/>
      <c r="T15" s="143"/>
      <c r="U15" s="143"/>
      <c r="V15" s="114"/>
      <c r="W15" s="147"/>
      <c r="X15" s="148"/>
      <c r="Y15" s="148"/>
      <c r="Z15" s="148"/>
      <c r="AA15" s="6"/>
      <c r="AB15" s="139"/>
      <c r="AC15" s="6"/>
      <c r="AD15" s="6"/>
      <c r="AE15" s="140"/>
    </row>
    <row r="16" spans="1:31" ht="20.100000000000001" customHeight="1" thickBot="1">
      <c r="A16" s="163"/>
      <c r="B16" s="156" t="s">
        <v>3</v>
      </c>
      <c r="C16" s="114">
        <v>2</v>
      </c>
      <c r="D16" s="14"/>
      <c r="E16" s="14"/>
      <c r="F16" s="27">
        <f>D16+E16</f>
        <v>0</v>
      </c>
      <c r="G16" s="13"/>
      <c r="H16" s="13"/>
      <c r="I16" s="13"/>
      <c r="J16" s="26"/>
      <c r="K16" s="52">
        <f>F16</f>
        <v>0</v>
      </c>
      <c r="L16" s="23"/>
      <c r="M16" s="13"/>
      <c r="N16" s="13"/>
      <c r="O16" s="13"/>
      <c r="P16" s="13"/>
      <c r="Q16" s="14"/>
      <c r="R16" s="13"/>
      <c r="S16" s="14"/>
      <c r="T16" s="14"/>
      <c r="U16" s="27">
        <f>T16*0.08</f>
        <v>0</v>
      </c>
      <c r="V16" s="114">
        <v>2</v>
      </c>
      <c r="W16" s="15"/>
      <c r="X16" s="115" t="str">
        <f>IF(D16&gt;=0,"OK","ERROR")</f>
        <v>OK</v>
      </c>
      <c r="Y16" s="115" t="str">
        <f>IF(E16&lt;=0,"OK","ERROR")</f>
        <v>OK</v>
      </c>
      <c r="Z16" s="115" t="str">
        <f>IF(MIN(F16:N16)&gt;=0,"OK","ERROR")</f>
        <v>OK</v>
      </c>
      <c r="AA16" s="6"/>
      <c r="AB16" s="6"/>
      <c r="AC16" s="115" t="str">
        <f>IF(Q16&gt;=0,"OK","ERROR")</f>
        <v>OK</v>
      </c>
      <c r="AD16" s="6"/>
      <c r="AE16" s="115" t="str">
        <f>IF(MIN(S16:U16)&gt;=0,"OK","ERROR")</f>
        <v>OK</v>
      </c>
    </row>
    <row r="17" spans="1:32" ht="20.100000000000001" customHeight="1" thickTop="1" thickBot="1">
      <c r="A17" s="163"/>
      <c r="B17" s="156" t="s">
        <v>4</v>
      </c>
      <c r="C17" s="114">
        <v>3</v>
      </c>
      <c r="D17" s="14"/>
      <c r="E17" s="14"/>
      <c r="F17" s="27">
        <f>D17+E17</f>
        <v>0</v>
      </c>
      <c r="G17" s="14"/>
      <c r="H17" s="14"/>
      <c r="I17" s="14"/>
      <c r="J17" s="25"/>
      <c r="K17" s="52">
        <f>F17-G17-0.8*H17-0.5*I17</f>
        <v>0</v>
      </c>
      <c r="L17" s="23"/>
      <c r="M17" s="13"/>
      <c r="N17" s="13"/>
      <c r="O17" s="13"/>
      <c r="P17" s="13"/>
      <c r="Q17" s="14"/>
      <c r="R17" s="13"/>
      <c r="S17" s="14"/>
      <c r="T17" s="14"/>
      <c r="U17" s="27">
        <f>T17*0.08</f>
        <v>0</v>
      </c>
      <c r="V17" s="114">
        <v>3</v>
      </c>
      <c r="W17" s="15"/>
      <c r="X17" s="115" t="str">
        <f>IF(D17&gt;=0,"OK","ERROR")</f>
        <v>OK</v>
      </c>
      <c r="Y17" s="115" t="str">
        <f>IF(E17&lt;=0,"OK","ERROR")</f>
        <v>OK</v>
      </c>
      <c r="Z17" s="115" t="str">
        <f>IF(MIN(F17:N17)&gt;=0,"OK","ERROR")</f>
        <v>OK</v>
      </c>
      <c r="AA17" s="6"/>
      <c r="AB17" s="6"/>
      <c r="AC17" s="115" t="str">
        <f>IF(Q17&gt;=0,"OK","ERROR")</f>
        <v>OK</v>
      </c>
      <c r="AD17" s="6"/>
      <c r="AE17" s="115" t="str">
        <f>IF(MIN(S17:U17)&gt;=0,"OK","ERROR")</f>
        <v>OK</v>
      </c>
    </row>
    <row r="18" spans="1:32" ht="44.25" customHeight="1" thickTop="1">
      <c r="A18" s="163"/>
      <c r="B18" s="155" t="s">
        <v>47</v>
      </c>
      <c r="C18" s="114"/>
      <c r="D18" s="143"/>
      <c r="E18" s="143"/>
      <c r="F18" s="143"/>
      <c r="G18" s="143"/>
      <c r="H18" s="143"/>
      <c r="I18" s="143"/>
      <c r="J18" s="143"/>
      <c r="K18" s="143"/>
      <c r="L18" s="143"/>
      <c r="M18" s="143"/>
      <c r="N18" s="143"/>
      <c r="O18" s="143"/>
      <c r="P18" s="143"/>
      <c r="Q18" s="143"/>
      <c r="R18" s="143"/>
      <c r="S18" s="143"/>
      <c r="T18" s="143"/>
      <c r="U18" s="143"/>
      <c r="V18" s="114"/>
      <c r="W18" s="147"/>
      <c r="X18" s="149"/>
      <c r="Y18" s="142"/>
      <c r="Z18" s="150"/>
      <c r="AA18" s="6"/>
      <c r="AB18" s="6"/>
      <c r="AC18" s="6"/>
      <c r="AD18" s="6"/>
      <c r="AE18" s="6"/>
      <c r="AF18" s="6"/>
    </row>
    <row r="19" spans="1:32" ht="20.100000000000001" customHeight="1" thickBot="1">
      <c r="A19" s="163"/>
      <c r="B19" s="157" t="s">
        <v>5</v>
      </c>
      <c r="C19" s="114">
        <v>4</v>
      </c>
      <c r="D19" s="14"/>
      <c r="E19" s="14"/>
      <c r="F19" s="27">
        <f t="shared" ref="F19:F34" si="0">D19+E19</f>
        <v>0</v>
      </c>
      <c r="G19" s="14"/>
      <c r="H19" s="14"/>
      <c r="I19" s="14"/>
      <c r="J19" s="25"/>
      <c r="K19" s="52">
        <f t="shared" ref="K19:K34" si="1">F19-G19-0.8*H19-0.5*I19</f>
        <v>0</v>
      </c>
      <c r="L19" s="23"/>
      <c r="M19" s="13"/>
      <c r="N19" s="13"/>
      <c r="O19" s="13"/>
      <c r="P19" s="13"/>
      <c r="Q19" s="14"/>
      <c r="R19" s="13"/>
      <c r="S19" s="14"/>
      <c r="T19" s="13"/>
      <c r="U19" s="13"/>
      <c r="V19" s="114">
        <v>4</v>
      </c>
      <c r="W19" s="15"/>
      <c r="X19" s="115" t="str">
        <f t="shared" ref="X19:X34" si="2">IF(D19&gt;=0,"OK","ERROR")</f>
        <v>OK</v>
      </c>
      <c r="Y19" s="115" t="str">
        <f t="shared" ref="Y19:Y34" si="3">IF(E19&lt;=0,"OK","ERROR")</f>
        <v>OK</v>
      </c>
      <c r="Z19" s="115" t="str">
        <f t="shared" ref="Z19:Z34" si="4">IF(MIN(F19:N19)&gt;=0,"OK","ERROR")</f>
        <v>OK</v>
      </c>
      <c r="AA19" s="6"/>
      <c r="AB19" s="6"/>
      <c r="AC19" s="115" t="str">
        <f t="shared" ref="AC19:AC34" si="5">IF(Q19&gt;=0,"OK","ERROR")</f>
        <v>OK</v>
      </c>
      <c r="AD19" s="6"/>
      <c r="AE19" s="115" t="str">
        <f t="shared" ref="AE19:AE34" si="6">IF(MIN(S19:U19)&gt;=0,"OK","ERROR")</f>
        <v>OK</v>
      </c>
    </row>
    <row r="20" spans="1:32" ht="20.100000000000001" customHeight="1" thickTop="1" thickBot="1">
      <c r="A20" s="163"/>
      <c r="B20" s="158">
        <v>0.1</v>
      </c>
      <c r="C20" s="280">
        <v>19</v>
      </c>
      <c r="D20" s="14"/>
      <c r="E20" s="14"/>
      <c r="F20" s="279">
        <f t="shared" si="0"/>
        <v>0</v>
      </c>
      <c r="G20" s="14"/>
      <c r="H20" s="14"/>
      <c r="I20" s="14"/>
      <c r="J20" s="25"/>
      <c r="K20" s="52">
        <f t="shared" si="1"/>
        <v>0</v>
      </c>
      <c r="L20" s="23"/>
      <c r="M20" s="13"/>
      <c r="N20" s="13"/>
      <c r="O20" s="13"/>
      <c r="P20" s="13"/>
      <c r="Q20" s="14"/>
      <c r="R20" s="13"/>
      <c r="S20" s="14"/>
      <c r="T20" s="279">
        <f>S20*0.1</f>
        <v>0</v>
      </c>
      <c r="U20" s="279">
        <f>T20*0.08</f>
        <v>0</v>
      </c>
      <c r="V20" s="280">
        <v>19</v>
      </c>
      <c r="W20" s="15"/>
      <c r="X20" s="115" t="str">
        <f>IF(D20&gt;=0,"OK","ERROR")</f>
        <v>OK</v>
      </c>
      <c r="Y20" s="115" t="str">
        <f>IF(E20&lt;=0,"OK","ERROR")</f>
        <v>OK</v>
      </c>
      <c r="Z20" s="115" t="str">
        <f>IF(MIN(F20:N20)&gt;=0,"OK","ERROR")</f>
        <v>OK</v>
      </c>
      <c r="AA20" s="6"/>
      <c r="AB20" s="6"/>
      <c r="AC20" s="115" t="str">
        <f t="shared" si="5"/>
        <v>OK</v>
      </c>
      <c r="AD20" s="6"/>
      <c r="AE20" s="115" t="str">
        <f t="shared" si="6"/>
        <v>OK</v>
      </c>
    </row>
    <row r="21" spans="1:32" ht="20.100000000000001" customHeight="1" thickTop="1" thickBot="1">
      <c r="A21" s="163"/>
      <c r="B21" s="158" t="s">
        <v>59</v>
      </c>
      <c r="C21" s="114">
        <v>5</v>
      </c>
      <c r="D21" s="14"/>
      <c r="E21" s="14"/>
      <c r="F21" s="27">
        <f t="shared" si="0"/>
        <v>0</v>
      </c>
      <c r="G21" s="14"/>
      <c r="H21" s="14"/>
      <c r="I21" s="14"/>
      <c r="J21" s="25"/>
      <c r="K21" s="52">
        <f t="shared" si="1"/>
        <v>0</v>
      </c>
      <c r="L21" s="23"/>
      <c r="M21" s="13"/>
      <c r="N21" s="13"/>
      <c r="O21" s="13"/>
      <c r="P21" s="13"/>
      <c r="Q21" s="14"/>
      <c r="R21" s="13"/>
      <c r="S21" s="14"/>
      <c r="T21" s="27">
        <f>S21*0.2</f>
        <v>0</v>
      </c>
      <c r="U21" s="27">
        <f t="shared" ref="U21:U34" si="7">T21*0.08</f>
        <v>0</v>
      </c>
      <c r="V21" s="114">
        <v>5</v>
      </c>
      <c r="W21" s="15"/>
      <c r="X21" s="115" t="str">
        <f t="shared" si="2"/>
        <v>OK</v>
      </c>
      <c r="Y21" s="115" t="str">
        <f t="shared" si="3"/>
        <v>OK</v>
      </c>
      <c r="Z21" s="115" t="str">
        <f t="shared" si="4"/>
        <v>OK</v>
      </c>
      <c r="AA21" s="6"/>
      <c r="AB21" s="6"/>
      <c r="AC21" s="115" t="str">
        <f t="shared" si="5"/>
        <v>OK</v>
      </c>
      <c r="AD21" s="6"/>
      <c r="AE21" s="115" t="str">
        <f t="shared" si="6"/>
        <v>OK</v>
      </c>
    </row>
    <row r="22" spans="1:32" ht="20.100000000000001" customHeight="1" thickTop="1" thickBot="1">
      <c r="A22" s="164"/>
      <c r="B22" s="158" t="s">
        <v>50</v>
      </c>
      <c r="C22" s="114">
        <v>6</v>
      </c>
      <c r="D22" s="14"/>
      <c r="E22" s="14"/>
      <c r="F22" s="27">
        <f t="shared" si="0"/>
        <v>0</v>
      </c>
      <c r="G22" s="14"/>
      <c r="H22" s="14"/>
      <c r="I22" s="14"/>
      <c r="J22" s="25"/>
      <c r="K22" s="52">
        <f t="shared" si="1"/>
        <v>0</v>
      </c>
      <c r="L22" s="23"/>
      <c r="M22" s="13"/>
      <c r="N22" s="13"/>
      <c r="O22" s="13"/>
      <c r="P22" s="13"/>
      <c r="Q22" s="14"/>
      <c r="R22" s="13"/>
      <c r="S22" s="14"/>
      <c r="T22" s="27">
        <f>S22*0.2</f>
        <v>0</v>
      </c>
      <c r="U22" s="27">
        <f t="shared" si="7"/>
        <v>0</v>
      </c>
      <c r="V22" s="114">
        <v>6</v>
      </c>
      <c r="W22" s="15"/>
      <c r="X22" s="115" t="str">
        <f t="shared" si="2"/>
        <v>OK</v>
      </c>
      <c r="Y22" s="115" t="str">
        <f t="shared" si="3"/>
        <v>OK</v>
      </c>
      <c r="Z22" s="115" t="str">
        <f t="shared" si="4"/>
        <v>OK</v>
      </c>
      <c r="AA22" s="6"/>
      <c r="AB22" s="6"/>
      <c r="AC22" s="115" t="str">
        <f t="shared" si="5"/>
        <v>OK</v>
      </c>
      <c r="AD22" s="6"/>
      <c r="AE22" s="115" t="str">
        <f t="shared" si="6"/>
        <v>OK</v>
      </c>
    </row>
    <row r="23" spans="1:32" ht="16.5" customHeight="1" thickTop="1" thickBot="1">
      <c r="A23" s="11"/>
      <c r="B23" s="158">
        <v>0.35</v>
      </c>
      <c r="C23" s="114">
        <v>7</v>
      </c>
      <c r="D23" s="14"/>
      <c r="E23" s="14"/>
      <c r="F23" s="27">
        <f t="shared" si="0"/>
        <v>0</v>
      </c>
      <c r="G23" s="14"/>
      <c r="H23" s="14"/>
      <c r="I23" s="14"/>
      <c r="J23" s="25"/>
      <c r="K23" s="52">
        <f t="shared" si="1"/>
        <v>0</v>
      </c>
      <c r="L23" s="23"/>
      <c r="M23" s="13"/>
      <c r="N23" s="13"/>
      <c r="O23" s="13"/>
      <c r="P23" s="13"/>
      <c r="Q23" s="14"/>
      <c r="R23" s="13"/>
      <c r="S23" s="14"/>
      <c r="T23" s="27">
        <f>S23*0.35</f>
        <v>0</v>
      </c>
      <c r="U23" s="27">
        <f t="shared" si="7"/>
        <v>0</v>
      </c>
      <c r="V23" s="114">
        <v>7</v>
      </c>
      <c r="W23" s="15"/>
      <c r="X23" s="115" t="str">
        <f t="shared" si="2"/>
        <v>OK</v>
      </c>
      <c r="Y23" s="115" t="str">
        <f t="shared" si="3"/>
        <v>OK</v>
      </c>
      <c r="Z23" s="115" t="str">
        <f t="shared" si="4"/>
        <v>OK</v>
      </c>
      <c r="AA23" s="6"/>
      <c r="AB23" s="6"/>
      <c r="AC23" s="115" t="str">
        <f t="shared" si="5"/>
        <v>OK</v>
      </c>
      <c r="AD23" s="6"/>
      <c r="AE23" s="115" t="str">
        <f t="shared" si="6"/>
        <v>OK</v>
      </c>
    </row>
    <row r="24" spans="1:32" ht="20.100000000000001" customHeight="1" thickTop="1" thickBot="1">
      <c r="A24" s="163"/>
      <c r="B24" s="158" t="s">
        <v>48</v>
      </c>
      <c r="C24" s="114">
        <v>8</v>
      </c>
      <c r="D24" s="14"/>
      <c r="E24" s="14"/>
      <c r="F24" s="27">
        <f t="shared" si="0"/>
        <v>0</v>
      </c>
      <c r="G24" s="14"/>
      <c r="H24" s="14"/>
      <c r="I24" s="14"/>
      <c r="J24" s="25"/>
      <c r="K24" s="52">
        <f t="shared" si="1"/>
        <v>0</v>
      </c>
      <c r="L24" s="23"/>
      <c r="M24" s="13"/>
      <c r="N24" s="13"/>
      <c r="O24" s="13"/>
      <c r="P24" s="13"/>
      <c r="Q24" s="14"/>
      <c r="R24" s="13"/>
      <c r="S24" s="14"/>
      <c r="T24" s="27">
        <f>S24*0.5</f>
        <v>0</v>
      </c>
      <c r="U24" s="27">
        <f t="shared" si="7"/>
        <v>0</v>
      </c>
      <c r="V24" s="114">
        <v>8</v>
      </c>
      <c r="W24" s="15"/>
      <c r="X24" s="115" t="str">
        <f t="shared" si="2"/>
        <v>OK</v>
      </c>
      <c r="Y24" s="115" t="str">
        <f t="shared" si="3"/>
        <v>OK</v>
      </c>
      <c r="Z24" s="115" t="str">
        <f t="shared" si="4"/>
        <v>OK</v>
      </c>
      <c r="AA24" s="6"/>
      <c r="AB24" s="6"/>
      <c r="AC24" s="115" t="str">
        <f t="shared" si="5"/>
        <v>OK</v>
      </c>
      <c r="AD24" s="6"/>
      <c r="AE24" s="115" t="str">
        <f t="shared" si="6"/>
        <v>OK</v>
      </c>
    </row>
    <row r="25" spans="1:32" ht="20.100000000000001" customHeight="1" thickTop="1" thickBot="1">
      <c r="A25" s="163"/>
      <c r="B25" s="158" t="s">
        <v>50</v>
      </c>
      <c r="C25" s="114">
        <v>9</v>
      </c>
      <c r="D25" s="14"/>
      <c r="E25" s="14"/>
      <c r="F25" s="27">
        <f t="shared" si="0"/>
        <v>0</v>
      </c>
      <c r="G25" s="14"/>
      <c r="H25" s="14"/>
      <c r="I25" s="14"/>
      <c r="J25" s="25"/>
      <c r="K25" s="52">
        <f t="shared" si="1"/>
        <v>0</v>
      </c>
      <c r="L25" s="23"/>
      <c r="M25" s="13"/>
      <c r="N25" s="13"/>
      <c r="O25" s="13"/>
      <c r="P25" s="13"/>
      <c r="Q25" s="14"/>
      <c r="R25" s="13"/>
      <c r="S25" s="14"/>
      <c r="T25" s="27">
        <f>S25*0.5</f>
        <v>0</v>
      </c>
      <c r="U25" s="27">
        <f t="shared" si="7"/>
        <v>0</v>
      </c>
      <c r="V25" s="114">
        <v>9</v>
      </c>
      <c r="W25" s="15"/>
      <c r="X25" s="115" t="str">
        <f t="shared" si="2"/>
        <v>OK</v>
      </c>
      <c r="Y25" s="115" t="str">
        <f t="shared" si="3"/>
        <v>OK</v>
      </c>
      <c r="Z25" s="115" t="str">
        <f t="shared" si="4"/>
        <v>OK</v>
      </c>
      <c r="AA25" s="6"/>
      <c r="AB25" s="6"/>
      <c r="AC25" s="115" t="str">
        <f t="shared" si="5"/>
        <v>OK</v>
      </c>
      <c r="AD25" s="6"/>
      <c r="AE25" s="115" t="str">
        <f t="shared" si="6"/>
        <v>OK</v>
      </c>
    </row>
    <row r="26" spans="1:32" ht="20.100000000000001" customHeight="1" thickTop="1" thickBot="1">
      <c r="A26" s="163"/>
      <c r="B26" s="158" t="s">
        <v>552</v>
      </c>
      <c r="C26" s="114">
        <v>11</v>
      </c>
      <c r="D26" s="14"/>
      <c r="E26" s="14"/>
      <c r="F26" s="27">
        <f t="shared" si="0"/>
        <v>0</v>
      </c>
      <c r="G26" s="14"/>
      <c r="H26" s="14"/>
      <c r="I26" s="14"/>
      <c r="J26" s="25"/>
      <c r="K26" s="52">
        <f t="shared" si="1"/>
        <v>0</v>
      </c>
      <c r="L26" s="23"/>
      <c r="M26" s="13"/>
      <c r="N26" s="13"/>
      <c r="O26" s="13"/>
      <c r="P26" s="13"/>
      <c r="Q26" s="14"/>
      <c r="R26" s="13"/>
      <c r="S26" s="14"/>
      <c r="T26" s="27">
        <f>S26*0.75</f>
        <v>0</v>
      </c>
      <c r="U26" s="27">
        <f t="shared" si="7"/>
        <v>0</v>
      </c>
      <c r="V26" s="114">
        <v>11</v>
      </c>
      <c r="W26" s="15"/>
      <c r="X26" s="115" t="str">
        <f t="shared" si="2"/>
        <v>OK</v>
      </c>
      <c r="Y26" s="115" t="str">
        <f t="shared" si="3"/>
        <v>OK</v>
      </c>
      <c r="Z26" s="115" t="str">
        <f t="shared" si="4"/>
        <v>OK</v>
      </c>
      <c r="AA26" s="6"/>
      <c r="AB26" s="6"/>
      <c r="AC26" s="115" t="str">
        <f t="shared" si="5"/>
        <v>OK</v>
      </c>
      <c r="AD26" s="6"/>
      <c r="AE26" s="115" t="str">
        <f t="shared" si="6"/>
        <v>OK</v>
      </c>
    </row>
    <row r="27" spans="1:32" ht="20.100000000000001" customHeight="1" thickTop="1" thickBot="1">
      <c r="A27" s="163"/>
      <c r="B27" s="159" t="s">
        <v>49</v>
      </c>
      <c r="C27" s="280">
        <v>20</v>
      </c>
      <c r="D27" s="14"/>
      <c r="E27" s="14"/>
      <c r="F27" s="279">
        <f t="shared" si="0"/>
        <v>0</v>
      </c>
      <c r="G27" s="14"/>
      <c r="H27" s="14"/>
      <c r="I27" s="14"/>
      <c r="J27" s="25"/>
      <c r="K27" s="52">
        <f t="shared" si="1"/>
        <v>0</v>
      </c>
      <c r="L27" s="23"/>
      <c r="M27" s="13"/>
      <c r="N27" s="13"/>
      <c r="O27" s="13"/>
      <c r="P27" s="13"/>
      <c r="Q27" s="14"/>
      <c r="R27" s="13"/>
      <c r="S27" s="14"/>
      <c r="T27" s="279">
        <f>S27*0.75</f>
        <v>0</v>
      </c>
      <c r="U27" s="279">
        <f t="shared" si="7"/>
        <v>0</v>
      </c>
      <c r="V27" s="280">
        <v>20</v>
      </c>
      <c r="W27" s="15"/>
      <c r="X27" s="115" t="str">
        <f>IF(D27&gt;=0,"OK","ERROR")</f>
        <v>OK</v>
      </c>
      <c r="Y27" s="115" t="str">
        <f>IF(E27&lt;=0,"OK","ERROR")</f>
        <v>OK</v>
      </c>
      <c r="Z27" s="115" t="str">
        <f>IF(MIN(F27:N27)&gt;=0,"OK","ERROR")</f>
        <v>OK</v>
      </c>
      <c r="AA27" s="6"/>
      <c r="AB27" s="6"/>
      <c r="AC27" s="115" t="str">
        <f t="shared" si="5"/>
        <v>OK</v>
      </c>
      <c r="AD27" s="6"/>
      <c r="AE27" s="115" t="str">
        <f t="shared" si="6"/>
        <v>OK</v>
      </c>
    </row>
    <row r="28" spans="1:32" ht="19.5" customHeight="1" thickTop="1" thickBot="1">
      <c r="A28" s="163"/>
      <c r="B28" s="158" t="s">
        <v>51</v>
      </c>
      <c r="C28" s="114">
        <v>12</v>
      </c>
      <c r="D28" s="14"/>
      <c r="E28" s="14"/>
      <c r="F28" s="27">
        <f t="shared" si="0"/>
        <v>0</v>
      </c>
      <c r="G28" s="14"/>
      <c r="H28" s="14"/>
      <c r="I28" s="14"/>
      <c r="J28" s="25"/>
      <c r="K28" s="52">
        <f t="shared" si="1"/>
        <v>0</v>
      </c>
      <c r="L28" s="23"/>
      <c r="M28" s="13"/>
      <c r="N28" s="13"/>
      <c r="O28" s="13"/>
      <c r="P28" s="13"/>
      <c r="Q28" s="14"/>
      <c r="R28" s="13"/>
      <c r="S28" s="14"/>
      <c r="T28" s="27">
        <f>S28*1</f>
        <v>0</v>
      </c>
      <c r="U28" s="27">
        <f t="shared" si="7"/>
        <v>0</v>
      </c>
      <c r="V28" s="114">
        <v>12</v>
      </c>
      <c r="W28" s="15"/>
      <c r="X28" s="115" t="str">
        <f t="shared" si="2"/>
        <v>OK</v>
      </c>
      <c r="Y28" s="115" t="str">
        <f t="shared" si="3"/>
        <v>OK</v>
      </c>
      <c r="Z28" s="115" t="str">
        <f t="shared" si="4"/>
        <v>OK</v>
      </c>
      <c r="AA28" s="6"/>
      <c r="AB28" s="6"/>
      <c r="AC28" s="115" t="str">
        <f t="shared" si="5"/>
        <v>OK</v>
      </c>
      <c r="AD28" s="6"/>
      <c r="AE28" s="115" t="str">
        <f t="shared" si="6"/>
        <v>OK</v>
      </c>
    </row>
    <row r="29" spans="1:32" ht="19.5" customHeight="1" thickTop="1" thickBot="1">
      <c r="A29" s="163"/>
      <c r="B29" s="158" t="s">
        <v>50</v>
      </c>
      <c r="C29" s="114">
        <v>13</v>
      </c>
      <c r="D29" s="14"/>
      <c r="E29" s="14"/>
      <c r="F29" s="27">
        <f t="shared" si="0"/>
        <v>0</v>
      </c>
      <c r="G29" s="14"/>
      <c r="H29" s="14"/>
      <c r="I29" s="14"/>
      <c r="J29" s="25"/>
      <c r="K29" s="52">
        <f t="shared" si="1"/>
        <v>0</v>
      </c>
      <c r="L29" s="23"/>
      <c r="M29" s="13"/>
      <c r="N29" s="13"/>
      <c r="O29" s="13"/>
      <c r="P29" s="13"/>
      <c r="Q29" s="14"/>
      <c r="R29" s="13"/>
      <c r="S29" s="14"/>
      <c r="T29" s="27">
        <f>S29*1</f>
        <v>0</v>
      </c>
      <c r="U29" s="27">
        <f t="shared" si="7"/>
        <v>0</v>
      </c>
      <c r="V29" s="114">
        <v>13</v>
      </c>
      <c r="W29" s="15"/>
      <c r="X29" s="115" t="str">
        <f t="shared" si="2"/>
        <v>OK</v>
      </c>
      <c r="Y29" s="115" t="str">
        <f t="shared" si="3"/>
        <v>OK</v>
      </c>
      <c r="Z29" s="115" t="str">
        <f t="shared" si="4"/>
        <v>OK</v>
      </c>
      <c r="AA29" s="6"/>
      <c r="AB29" s="6"/>
      <c r="AC29" s="115" t="str">
        <f t="shared" si="5"/>
        <v>OK</v>
      </c>
      <c r="AD29" s="6"/>
      <c r="AE29" s="115" t="str">
        <f t="shared" si="6"/>
        <v>OK</v>
      </c>
    </row>
    <row r="30" spans="1:32" ht="19.5" customHeight="1" thickTop="1" thickBot="1">
      <c r="A30" s="163"/>
      <c r="B30" s="159" t="s">
        <v>49</v>
      </c>
      <c r="C30" s="114">
        <v>14</v>
      </c>
      <c r="D30" s="14"/>
      <c r="E30" s="14"/>
      <c r="F30" s="27">
        <f t="shared" si="0"/>
        <v>0</v>
      </c>
      <c r="G30" s="14"/>
      <c r="H30" s="14"/>
      <c r="I30" s="14"/>
      <c r="J30" s="25"/>
      <c r="K30" s="52">
        <f t="shared" si="1"/>
        <v>0</v>
      </c>
      <c r="L30" s="23"/>
      <c r="M30" s="13"/>
      <c r="N30" s="13"/>
      <c r="O30" s="13"/>
      <c r="P30" s="13"/>
      <c r="Q30" s="14"/>
      <c r="R30" s="13"/>
      <c r="S30" s="14"/>
      <c r="T30" s="27">
        <f>S30*1</f>
        <v>0</v>
      </c>
      <c r="U30" s="27">
        <f t="shared" si="7"/>
        <v>0</v>
      </c>
      <c r="V30" s="114">
        <v>14</v>
      </c>
      <c r="W30" s="15"/>
      <c r="X30" s="115" t="str">
        <f t="shared" si="2"/>
        <v>OK</v>
      </c>
      <c r="Y30" s="115" t="str">
        <f t="shared" si="3"/>
        <v>OK</v>
      </c>
      <c r="Z30" s="115" t="str">
        <f t="shared" si="4"/>
        <v>OK</v>
      </c>
      <c r="AA30" s="6"/>
      <c r="AB30" s="6"/>
      <c r="AC30" s="115" t="str">
        <f t="shared" si="5"/>
        <v>OK</v>
      </c>
      <c r="AD30" s="6"/>
      <c r="AE30" s="115" t="str">
        <f t="shared" si="6"/>
        <v>OK</v>
      </c>
    </row>
    <row r="31" spans="1:32" ht="19.5" customHeight="1" thickTop="1" thickBot="1">
      <c r="A31" s="163"/>
      <c r="B31" s="158" t="s">
        <v>52</v>
      </c>
      <c r="C31" s="114">
        <v>15</v>
      </c>
      <c r="D31" s="14"/>
      <c r="E31" s="14"/>
      <c r="F31" s="27">
        <f t="shared" si="0"/>
        <v>0</v>
      </c>
      <c r="G31" s="14"/>
      <c r="H31" s="14"/>
      <c r="I31" s="14"/>
      <c r="J31" s="25"/>
      <c r="K31" s="52">
        <f t="shared" si="1"/>
        <v>0</v>
      </c>
      <c r="L31" s="23"/>
      <c r="M31" s="13"/>
      <c r="N31" s="13"/>
      <c r="O31" s="13"/>
      <c r="P31" s="13"/>
      <c r="Q31" s="14"/>
      <c r="R31" s="13"/>
      <c r="S31" s="14"/>
      <c r="T31" s="27">
        <f>S31*1</f>
        <v>0</v>
      </c>
      <c r="U31" s="27">
        <f t="shared" si="7"/>
        <v>0</v>
      </c>
      <c r="V31" s="114">
        <v>15</v>
      </c>
      <c r="W31" s="15"/>
      <c r="X31" s="115" t="str">
        <f t="shared" si="2"/>
        <v>OK</v>
      </c>
      <c r="Y31" s="115" t="str">
        <f t="shared" si="3"/>
        <v>OK</v>
      </c>
      <c r="Z31" s="115" t="str">
        <f t="shared" si="4"/>
        <v>OK</v>
      </c>
      <c r="AA31" s="6"/>
      <c r="AB31" s="6"/>
      <c r="AC31" s="115" t="str">
        <f t="shared" si="5"/>
        <v>OK</v>
      </c>
      <c r="AD31" s="6"/>
      <c r="AE31" s="115" t="str">
        <f t="shared" si="6"/>
        <v>OK</v>
      </c>
    </row>
    <row r="32" spans="1:32" ht="19.5" customHeight="1" thickTop="1" thickBot="1">
      <c r="A32" s="163"/>
      <c r="B32" s="158" t="s">
        <v>53</v>
      </c>
      <c r="C32" s="114">
        <v>16</v>
      </c>
      <c r="D32" s="14"/>
      <c r="E32" s="14"/>
      <c r="F32" s="27">
        <f t="shared" si="0"/>
        <v>0</v>
      </c>
      <c r="G32" s="14"/>
      <c r="H32" s="14"/>
      <c r="I32" s="14"/>
      <c r="J32" s="25"/>
      <c r="K32" s="52">
        <f t="shared" si="1"/>
        <v>0</v>
      </c>
      <c r="L32" s="23"/>
      <c r="M32" s="13"/>
      <c r="N32" s="13"/>
      <c r="O32" s="13"/>
      <c r="P32" s="13"/>
      <c r="Q32" s="14"/>
      <c r="R32" s="13"/>
      <c r="S32" s="14"/>
      <c r="T32" s="27">
        <f>S32*1.5</f>
        <v>0</v>
      </c>
      <c r="U32" s="27">
        <f t="shared" si="7"/>
        <v>0</v>
      </c>
      <c r="V32" s="114">
        <v>16</v>
      </c>
      <c r="W32" s="15"/>
      <c r="X32" s="115" t="str">
        <f t="shared" si="2"/>
        <v>OK</v>
      </c>
      <c r="Y32" s="115" t="str">
        <f t="shared" si="3"/>
        <v>OK</v>
      </c>
      <c r="Z32" s="115" t="str">
        <f t="shared" si="4"/>
        <v>OK</v>
      </c>
      <c r="AA32" s="6"/>
      <c r="AB32" s="6"/>
      <c r="AC32" s="115" t="str">
        <f t="shared" si="5"/>
        <v>OK</v>
      </c>
      <c r="AD32" s="6"/>
      <c r="AE32" s="115" t="str">
        <f t="shared" si="6"/>
        <v>OK</v>
      </c>
    </row>
    <row r="33" spans="1:32" ht="19.5" customHeight="1" thickTop="1" thickBot="1">
      <c r="A33" s="163"/>
      <c r="B33" s="158" t="s">
        <v>52</v>
      </c>
      <c r="C33" s="114">
        <v>17</v>
      </c>
      <c r="D33" s="14"/>
      <c r="E33" s="14"/>
      <c r="F33" s="27">
        <f t="shared" si="0"/>
        <v>0</v>
      </c>
      <c r="G33" s="14"/>
      <c r="H33" s="14"/>
      <c r="I33" s="14"/>
      <c r="J33" s="25"/>
      <c r="K33" s="52">
        <f t="shared" si="1"/>
        <v>0</v>
      </c>
      <c r="L33" s="23"/>
      <c r="M33" s="13"/>
      <c r="N33" s="13"/>
      <c r="O33" s="13"/>
      <c r="P33" s="13"/>
      <c r="Q33" s="14"/>
      <c r="R33" s="13"/>
      <c r="S33" s="14"/>
      <c r="T33" s="27">
        <f>S33*1.5</f>
        <v>0</v>
      </c>
      <c r="U33" s="27">
        <f t="shared" si="7"/>
        <v>0</v>
      </c>
      <c r="V33" s="114">
        <v>17</v>
      </c>
      <c r="W33" s="15"/>
      <c r="X33" s="115" t="str">
        <f t="shared" si="2"/>
        <v>OK</v>
      </c>
      <c r="Y33" s="115" t="str">
        <f t="shared" si="3"/>
        <v>OK</v>
      </c>
      <c r="Z33" s="115" t="str">
        <f t="shared" si="4"/>
        <v>OK</v>
      </c>
      <c r="AA33" s="6"/>
      <c r="AB33" s="6"/>
      <c r="AC33" s="115" t="str">
        <f t="shared" si="5"/>
        <v>OK</v>
      </c>
      <c r="AD33" s="6"/>
      <c r="AE33" s="115" t="str">
        <f t="shared" si="6"/>
        <v>OK</v>
      </c>
    </row>
    <row r="34" spans="1:32" ht="20.100000000000001" customHeight="1" thickTop="1" thickBot="1">
      <c r="A34" s="163"/>
      <c r="B34" s="158">
        <v>3.5</v>
      </c>
      <c r="C34" s="114">
        <v>18</v>
      </c>
      <c r="D34" s="14"/>
      <c r="E34" s="14"/>
      <c r="F34" s="27">
        <f t="shared" si="0"/>
        <v>0</v>
      </c>
      <c r="G34" s="14"/>
      <c r="H34" s="14"/>
      <c r="I34" s="14"/>
      <c r="J34" s="25"/>
      <c r="K34" s="52">
        <f t="shared" si="1"/>
        <v>0</v>
      </c>
      <c r="L34" s="23"/>
      <c r="M34" s="13"/>
      <c r="N34" s="13"/>
      <c r="O34" s="13"/>
      <c r="P34" s="13"/>
      <c r="Q34" s="14"/>
      <c r="R34" s="13"/>
      <c r="S34" s="14"/>
      <c r="T34" s="27">
        <f>S34*3.5</f>
        <v>0</v>
      </c>
      <c r="U34" s="27">
        <f t="shared" si="7"/>
        <v>0</v>
      </c>
      <c r="V34" s="114">
        <v>18</v>
      </c>
      <c r="W34" s="15"/>
      <c r="X34" s="115" t="str">
        <f t="shared" si="2"/>
        <v>OK</v>
      </c>
      <c r="Y34" s="115" t="str">
        <f t="shared" si="3"/>
        <v>OK</v>
      </c>
      <c r="Z34" s="115" t="str">
        <f t="shared" si="4"/>
        <v>OK</v>
      </c>
      <c r="AA34" s="6"/>
      <c r="AB34" s="6"/>
      <c r="AC34" s="115" t="str">
        <f t="shared" si="5"/>
        <v>OK</v>
      </c>
      <c r="AD34" s="6"/>
      <c r="AE34" s="115" t="str">
        <f t="shared" si="6"/>
        <v>OK</v>
      </c>
    </row>
    <row r="35" spans="1:32" ht="6" customHeight="1" thickTop="1">
      <c r="A35" s="165"/>
      <c r="B35" s="168"/>
      <c r="C35" s="8"/>
      <c r="D35" s="128"/>
      <c r="E35" s="128"/>
      <c r="F35" s="128"/>
      <c r="G35" s="128"/>
      <c r="H35" s="128"/>
      <c r="I35" s="128"/>
      <c r="J35" s="128"/>
      <c r="K35" s="128"/>
      <c r="L35" s="128"/>
      <c r="M35" s="128"/>
      <c r="N35" s="128"/>
      <c r="O35" s="128"/>
      <c r="P35" s="128"/>
      <c r="Q35" s="128"/>
      <c r="R35" s="128"/>
      <c r="S35" s="128"/>
      <c r="T35" s="128"/>
      <c r="U35" s="128"/>
      <c r="V35" s="8"/>
      <c r="W35" s="149"/>
      <c r="X35" s="149"/>
      <c r="Y35" s="142"/>
      <c r="Z35" s="142"/>
      <c r="AA35" s="6"/>
      <c r="AB35" s="6"/>
      <c r="AC35" s="6"/>
      <c r="AD35" s="6"/>
      <c r="AE35" s="6"/>
      <c r="AF35" s="6"/>
    </row>
    <row r="36" spans="1:32" ht="15" customHeight="1">
      <c r="A36" s="85"/>
      <c r="B36" s="21" t="str">
        <f>"Version: "&amp;D43</f>
        <v>Version: 2.01.E0</v>
      </c>
      <c r="C36" s="85"/>
      <c r="D36" s="85"/>
      <c r="E36" s="85"/>
      <c r="F36" s="85"/>
      <c r="G36" s="85"/>
      <c r="H36" s="85"/>
      <c r="I36" s="85"/>
      <c r="J36" s="85"/>
      <c r="K36" s="85"/>
      <c r="L36" s="85"/>
      <c r="M36" s="85"/>
      <c r="N36" s="85"/>
      <c r="O36" s="85"/>
      <c r="P36" s="85"/>
      <c r="Q36" s="85"/>
      <c r="R36" s="85"/>
      <c r="S36" s="85"/>
      <c r="T36" s="85"/>
      <c r="U36" s="85"/>
      <c r="V36" s="171" t="s">
        <v>157</v>
      </c>
      <c r="W36" s="15"/>
      <c r="X36" s="15"/>
      <c r="Y36" s="149"/>
      <c r="Z36" s="149"/>
      <c r="AA36" s="6"/>
      <c r="AB36" s="6"/>
      <c r="AC36" s="6"/>
      <c r="AD36" s="6"/>
      <c r="AE36" s="6"/>
      <c r="AF36" s="6"/>
    </row>
    <row r="37" spans="1:32" ht="15" customHeight="1">
      <c r="A37"/>
      <c r="B37"/>
      <c r="C37"/>
      <c r="D37"/>
      <c r="E37"/>
      <c r="F37"/>
      <c r="G37"/>
      <c r="H37"/>
      <c r="I37"/>
      <c r="J37"/>
      <c r="K37"/>
      <c r="L37"/>
      <c r="M37"/>
      <c r="N37"/>
      <c r="O37"/>
      <c r="P37"/>
      <c r="Q37"/>
      <c r="R37"/>
      <c r="S37"/>
      <c r="T37"/>
      <c r="U37"/>
      <c r="V37" s="6"/>
      <c r="W37" s="15"/>
      <c r="X37" s="15"/>
      <c r="Y37" s="15"/>
      <c r="Z37" s="15"/>
    </row>
    <row r="38" spans="1:32" ht="15" customHeight="1">
      <c r="Q38" s="57"/>
      <c r="S38" s="57"/>
      <c r="V38" s="6"/>
    </row>
    <row r="39" spans="1:32" ht="15" customHeight="1">
      <c r="Q39" s="57"/>
      <c r="S39" s="57"/>
    </row>
    <row r="40" spans="1:32" ht="15" customHeight="1">
      <c r="B40" s="3"/>
      <c r="C40" s="31" t="s">
        <v>94</v>
      </c>
      <c r="D40" s="16" t="str">
        <f>U2</f>
        <v>XXXXXX</v>
      </c>
    </row>
    <row r="41" spans="1:32" ht="15" customHeight="1">
      <c r="B41" s="5"/>
      <c r="D41" s="17" t="str">
        <f>U1</f>
        <v>CSIB_CRSABIS_03</v>
      </c>
    </row>
    <row r="42" spans="1:32" ht="15" customHeight="1">
      <c r="B42" s="5"/>
      <c r="D42" s="18" t="str">
        <f>U3</f>
        <v>DD.MM.YYYY</v>
      </c>
    </row>
    <row r="43" spans="1:32" ht="15" customHeight="1">
      <c r="B43" s="19"/>
      <c r="D43" s="20" t="s">
        <v>551</v>
      </c>
    </row>
    <row r="44" spans="1:32" ht="15" customHeight="1">
      <c r="B44" s="5"/>
      <c r="D44" s="17" t="str">
        <f>D13</f>
        <v>col. 01</v>
      </c>
    </row>
    <row r="45" spans="1:32" ht="15" customHeight="1">
      <c r="B45" s="10"/>
      <c r="C45" s="8"/>
      <c r="D45" s="59">
        <f>COUNTIF(D49:U54,"ERROR")+COUNTIF(X14:AE35,"ERROR")</f>
        <v>0</v>
      </c>
    </row>
    <row r="46" spans="1:32" ht="16.5" customHeight="1">
      <c r="B46" s="6"/>
      <c r="C46" s="7"/>
      <c r="D46" s="58"/>
    </row>
    <row r="47" spans="1:32">
      <c r="B47" s="6"/>
      <c r="C47" s="7"/>
      <c r="D47" s="56"/>
    </row>
    <row r="48" spans="1:32">
      <c r="D48" s="166" t="s">
        <v>95</v>
      </c>
      <c r="E48" s="166" t="s">
        <v>96</v>
      </c>
      <c r="F48" s="166" t="s">
        <v>97</v>
      </c>
      <c r="G48" s="166" t="s">
        <v>98</v>
      </c>
      <c r="H48" s="166" t="s">
        <v>99</v>
      </c>
      <c r="I48" s="166" t="s">
        <v>100</v>
      </c>
      <c r="J48" s="166" t="s">
        <v>101</v>
      </c>
      <c r="K48" s="166" t="s">
        <v>102</v>
      </c>
      <c r="L48" s="166" t="s">
        <v>103</v>
      </c>
      <c r="M48" s="166" t="s">
        <v>104</v>
      </c>
      <c r="N48" s="166" t="s">
        <v>105</v>
      </c>
      <c r="O48" s="166" t="s">
        <v>106</v>
      </c>
      <c r="P48" s="166" t="s">
        <v>107</v>
      </c>
      <c r="Q48" s="166" t="s">
        <v>108</v>
      </c>
      <c r="R48" s="166" t="s">
        <v>109</v>
      </c>
      <c r="S48" s="166" t="s">
        <v>110</v>
      </c>
      <c r="T48" s="166" t="s">
        <v>111</v>
      </c>
      <c r="U48" s="166" t="s">
        <v>112</v>
      </c>
      <c r="V48" s="85"/>
      <c r="W48" s="85"/>
    </row>
    <row r="49" spans="2:23">
      <c r="B49" s="53" t="s">
        <v>547</v>
      </c>
      <c r="C49" s="54"/>
      <c r="D49" s="115" t="str">
        <f>IF(ROUND(D17+D16,0)=ROUND(D14,0),"OK","ERROR")</f>
        <v>OK</v>
      </c>
      <c r="E49" s="115" t="str">
        <f>IF(ROUND(E17+E16,0)=ROUND(E14,0),"OK","ERROR")</f>
        <v>OK</v>
      </c>
      <c r="F49" s="115" t="str">
        <f>IF(ROUND(F17+F16,0)=ROUND(F14,0),"OK","ERROR")</f>
        <v>OK</v>
      </c>
      <c r="G49" s="115" t="str">
        <f>IF(ROUND(G17,0)=ROUND(G14,0),"OK","ERROR")</f>
        <v>OK</v>
      </c>
      <c r="H49" s="115" t="str">
        <f>IF(ROUND(H17,0)=ROUND(H14,0),"OK","ERROR")</f>
        <v>OK</v>
      </c>
      <c r="I49" s="115" t="str">
        <f>IF(ROUND(I17,0)=ROUND(I14,0),"OK","ERROR")</f>
        <v>OK</v>
      </c>
      <c r="J49" s="115" t="str">
        <f>IF(ROUND(J17,0)=ROUND(J14,0),"OK","ERROR")</f>
        <v>OK</v>
      </c>
      <c r="K49" s="115" t="str">
        <f>IF(AND(ROUND(K16+K17,0)=ROUND(K14,0),ROUND(K14,0)=ROUND(K19+K20+K21+K23+K24+K26+K28+K32+K34,0)),"OK","ERROR")</f>
        <v>OK</v>
      </c>
      <c r="L49" s="85"/>
      <c r="M49" s="85"/>
      <c r="N49" s="85"/>
      <c r="O49" s="85"/>
      <c r="P49" s="85"/>
      <c r="Q49" s="115" t="str">
        <f>IF(AND(ROUND(Q17+Q16,0)=ROUND(Q14,0),ROUND(K14+O14+P14,0)=ROUND(Q14,0)),"OK","ERROR")</f>
        <v>OK</v>
      </c>
      <c r="R49" s="85"/>
      <c r="S49" s="115" t="str">
        <f>IF(AND(ROUND(S17+S16,0)=ROUND(S14,0),ROUND(Q14+R14,0)=ROUND(S14,0)),"OK","ERROR")</f>
        <v>OK</v>
      </c>
      <c r="T49" s="115" t="str">
        <f>IF(ROUND(T17+T16,0)=ROUND(T14,0),"OK","ERROR")</f>
        <v>OK</v>
      </c>
      <c r="U49" s="115" t="str">
        <f>IF(ROUND(U17+U16,0)=ROUND(U14,0),"OK","ERROR")</f>
        <v>OK</v>
      </c>
      <c r="V49" s="85"/>
      <c r="W49" s="85"/>
    </row>
    <row r="50" spans="2:23">
      <c r="B50" s="53" t="s">
        <v>548</v>
      </c>
      <c r="C50" s="55"/>
      <c r="D50" s="115" t="str">
        <f>IF(ROUND(D22,0)&lt;=ROUND(D21,0),"OK","ERROR")</f>
        <v>OK</v>
      </c>
      <c r="E50" s="115" t="str">
        <f>IF(ROUND(E22,0)&gt;=ROUND(E21,0),"OK","ERROR")</f>
        <v>OK</v>
      </c>
      <c r="F50" s="115" t="str">
        <f t="shared" ref="F50:K50" si="8">IF(ROUND(F22,0)&lt;=ROUND(F21,0),"OK","ERROR")</f>
        <v>OK</v>
      </c>
      <c r="G50" s="115" t="str">
        <f t="shared" si="8"/>
        <v>OK</v>
      </c>
      <c r="H50" s="115" t="str">
        <f t="shared" si="8"/>
        <v>OK</v>
      </c>
      <c r="I50" s="115" t="str">
        <f t="shared" si="8"/>
        <v>OK</v>
      </c>
      <c r="J50" s="115" t="str">
        <f t="shared" si="8"/>
        <v>OK</v>
      </c>
      <c r="K50" s="115" t="str">
        <f t="shared" si="8"/>
        <v>OK</v>
      </c>
      <c r="L50" s="85"/>
      <c r="M50" s="85"/>
      <c r="N50" s="85"/>
      <c r="O50" s="85"/>
      <c r="P50" s="85"/>
      <c r="Q50" s="115" t="str">
        <f>IF(ROUND(Q22,0)&lt;=ROUND(Q21,0),"OK","ERROR")</f>
        <v>OK</v>
      </c>
      <c r="R50" s="85"/>
      <c r="S50" s="115" t="str">
        <f>IF(ROUND(S22,0)&lt;=ROUND(S21,0),"OK","ERROR")</f>
        <v>OK</v>
      </c>
      <c r="T50" s="115" t="str">
        <f>IF(ROUND(T22,0)&lt;=ROUND(T21,0),"OK","ERROR")</f>
        <v>OK</v>
      </c>
      <c r="U50" s="115" t="str">
        <f>IF(ROUND(U22,0)&lt;=ROUND(U21,0),"OK","ERROR")</f>
        <v>OK</v>
      </c>
      <c r="V50" s="85"/>
      <c r="W50" s="85"/>
    </row>
    <row r="51" spans="2:23">
      <c r="B51" s="288" t="s">
        <v>549</v>
      </c>
      <c r="C51" s="55"/>
      <c r="D51" s="115" t="str">
        <f>IF(ROUND(D25,0)&lt;=ROUND(D24,0),"OK","ERROR")</f>
        <v>OK</v>
      </c>
      <c r="E51" s="115" t="str">
        <f>IF(ROUND(E25,0)&gt;=ROUND(E24,0),"OK","ERROR")</f>
        <v>OK</v>
      </c>
      <c r="F51" s="115" t="str">
        <f t="shared" ref="F51:K51" si="9">IF(ROUND(F25,0)&lt;=ROUND(F24,0),"OK","ERROR")</f>
        <v>OK</v>
      </c>
      <c r="G51" s="115" t="str">
        <f t="shared" si="9"/>
        <v>OK</v>
      </c>
      <c r="H51" s="115" t="str">
        <f t="shared" si="9"/>
        <v>OK</v>
      </c>
      <c r="I51" s="115" t="str">
        <f t="shared" si="9"/>
        <v>OK</v>
      </c>
      <c r="J51" s="115" t="str">
        <f t="shared" si="9"/>
        <v>OK</v>
      </c>
      <c r="K51" s="115" t="str">
        <f t="shared" si="9"/>
        <v>OK</v>
      </c>
      <c r="L51" s="278"/>
      <c r="M51" s="278"/>
      <c r="N51" s="278"/>
      <c r="O51" s="278"/>
      <c r="P51" s="278"/>
      <c r="Q51" s="115" t="str">
        <f>IF(ROUND(Q25,0)&lt;=ROUND(Q24,0),"OK","ERROR")</f>
        <v>OK</v>
      </c>
      <c r="R51" s="278"/>
      <c r="S51" s="115" t="str">
        <f>IF(ROUND(S25,0)&lt;=ROUND(S24,0),"OK","ERROR")</f>
        <v>OK</v>
      </c>
      <c r="T51" s="115" t="str">
        <f>IF(ROUND(T25,0)&lt;=ROUND(T24,0),"OK","ERROR")</f>
        <v>OK</v>
      </c>
      <c r="U51" s="115" t="str">
        <f>IF(ROUND(U25,0)&lt;=ROUND(U24,0),"OK","ERROR")</f>
        <v>OK</v>
      </c>
      <c r="V51" s="85"/>
      <c r="W51" s="85"/>
    </row>
    <row r="52" spans="2:23">
      <c r="B52" s="288" t="s">
        <v>553</v>
      </c>
      <c r="C52" s="55"/>
      <c r="D52" s="115" t="str">
        <f>IF(ROUND(D27,0)&lt;=ROUND(D26,0),"OK","ERROR")</f>
        <v>OK</v>
      </c>
      <c r="E52" s="115" t="str">
        <f>IF(ROUND(E27,0)&gt;=ROUND(E26,0),"OK","ERROR")</f>
        <v>OK</v>
      </c>
      <c r="F52" s="115" t="str">
        <f t="shared" ref="F52:K52" si="10">IF(ROUND(F27,0)&lt;=ROUND(F26,0),"OK","ERROR")</f>
        <v>OK</v>
      </c>
      <c r="G52" s="115" t="str">
        <f t="shared" si="10"/>
        <v>OK</v>
      </c>
      <c r="H52" s="115" t="str">
        <f t="shared" si="10"/>
        <v>OK</v>
      </c>
      <c r="I52" s="115" t="str">
        <f t="shared" si="10"/>
        <v>OK</v>
      </c>
      <c r="J52" s="115" t="str">
        <f t="shared" si="10"/>
        <v>OK</v>
      </c>
      <c r="K52" s="115" t="str">
        <f t="shared" si="10"/>
        <v>OK</v>
      </c>
      <c r="L52" s="278"/>
      <c r="M52" s="278"/>
      <c r="N52" s="278"/>
      <c r="O52" s="278"/>
      <c r="P52" s="278"/>
      <c r="Q52" s="115" t="str">
        <f>IF(ROUND(Q27,0)&lt;=ROUND(Q26,0),"OK","ERROR")</f>
        <v>OK</v>
      </c>
      <c r="R52" s="278"/>
      <c r="S52" s="115" t="str">
        <f>IF(ROUND(S27,0)&lt;=ROUND(S26,0),"OK","ERROR")</f>
        <v>OK</v>
      </c>
      <c r="T52" s="115" t="str">
        <f>IF(ROUND(T27,0)&lt;=ROUND(T26,0),"OK","ERROR")</f>
        <v>OK</v>
      </c>
      <c r="U52" s="115" t="str">
        <f>IF(ROUND(U27,0)&lt;=ROUND(U26,0),"OK","ERROR")</f>
        <v>OK</v>
      </c>
      <c r="V52" s="278"/>
      <c r="W52" s="278"/>
    </row>
    <row r="53" spans="2:23">
      <c r="B53" s="290"/>
      <c r="C53" s="278"/>
      <c r="D53" s="278"/>
      <c r="E53" s="278"/>
      <c r="F53" s="278"/>
      <c r="G53" s="278"/>
      <c r="H53" s="278"/>
      <c r="I53" s="278"/>
      <c r="J53" s="278"/>
      <c r="K53" s="278"/>
      <c r="L53" s="278"/>
      <c r="M53" s="278"/>
      <c r="N53" s="278"/>
      <c r="O53" s="278"/>
      <c r="P53" s="278"/>
      <c r="Q53" s="278"/>
      <c r="R53" s="278"/>
      <c r="S53" s="278"/>
      <c r="T53" s="278"/>
      <c r="U53" s="278"/>
      <c r="V53" s="85"/>
      <c r="W53" s="85"/>
    </row>
    <row r="54" spans="2:23">
      <c r="B54" s="53" t="s">
        <v>550</v>
      </c>
      <c r="C54" s="55"/>
      <c r="D54" s="115" t="str">
        <f>IF(ROUND(D33,0)&lt;=ROUND(D32,0),"OK","ERROR")</f>
        <v>OK</v>
      </c>
      <c r="E54" s="115" t="str">
        <f>IF(ROUND(E33,0)&gt;=ROUND(E32,0),"OK","ERROR")</f>
        <v>OK</v>
      </c>
      <c r="F54" s="115" t="str">
        <f t="shared" ref="F54:K54" si="11">IF(ROUND(F33,0)&lt;=ROUND(F32,0),"OK","ERROR")</f>
        <v>OK</v>
      </c>
      <c r="G54" s="115" t="str">
        <f t="shared" si="11"/>
        <v>OK</v>
      </c>
      <c r="H54" s="115" t="str">
        <f t="shared" si="11"/>
        <v>OK</v>
      </c>
      <c r="I54" s="115" t="str">
        <f t="shared" si="11"/>
        <v>OK</v>
      </c>
      <c r="J54" s="115" t="str">
        <f t="shared" si="11"/>
        <v>OK</v>
      </c>
      <c r="K54" s="115" t="str">
        <f t="shared" si="11"/>
        <v>OK</v>
      </c>
      <c r="L54" s="85"/>
      <c r="M54" s="85"/>
      <c r="N54" s="85"/>
      <c r="O54" s="85"/>
      <c r="P54" s="85"/>
      <c r="Q54" s="115" t="str">
        <f>IF(ROUND(Q33,0)&lt;=ROUND(Q32,0),"OK","ERROR")</f>
        <v>OK</v>
      </c>
      <c r="R54" s="85"/>
      <c r="S54" s="115" t="str">
        <f>IF(ROUND(S33,0)&lt;=ROUND(S32,0),"OK","ERROR")</f>
        <v>OK</v>
      </c>
      <c r="T54" s="115" t="str">
        <f>IF(ROUND(T33,0)&lt;=ROUND(T32,0),"OK","ERROR")</f>
        <v>OK</v>
      </c>
      <c r="U54" s="115" t="str">
        <f>IF(ROUND(U33,0)&lt;=ROUND(U32,0),"OK","ERROR")</f>
        <v>OK</v>
      </c>
      <c r="V54" s="85"/>
      <c r="W54" s="85"/>
    </row>
    <row r="55" spans="2:23">
      <c r="V55" s="85"/>
      <c r="W55" s="85"/>
    </row>
  </sheetData>
  <sheetProtection sheet="1" objects="1" scenarios="1"/>
  <customSheetViews>
    <customSheetView guid="{4435029F-2F1B-45E2-BFDE-13E66716A0E9}" scale="80" showGridLines="0" showRowCol="0" zeroValues="0">
      <pane xSplit="3" ySplit="13" topLeftCell="D14" activePane="bottomRight" state="frozen"/>
      <selection pane="bottomRight" activeCell="L14" sqref="L14"/>
      <rowBreaks count="1" manualBreakCount="1">
        <brk id="36" max="16383" man="1"/>
      </rowBreaks>
      <colBreaks count="1" manualBreakCount="1">
        <brk id="11" max="34" man="1"/>
      </colBreaks>
      <pageMargins left="0.39370078740157483" right="0.39370078740157483" top="0.39370078740157483" bottom="0.39370078740157483" header="0.19685039370078741" footer="0"/>
      <pageSetup paperSize="9" scale="54" orientation="landscape" r:id="rId1"/>
      <headerFooter alignWithMargins="0">
        <oddFooter>&amp;L&amp;"Arial,Fett"SNB Confidential&amp;C&amp;D&amp;RPage &amp;P</oddFooter>
      </headerFooter>
    </customSheetView>
  </customSheetViews>
  <mergeCells count="2">
    <mergeCell ref="E2:I2"/>
    <mergeCell ref="M2:Q2"/>
  </mergeCells>
  <phoneticPr fontId="10" type="noConversion"/>
  <conditionalFormatting sqref="D25">
    <cfRule type="cellIs" dxfId="4" priority="3" stopIfTrue="1" operator="equal">
      <formula>$D$49="ERROR"</formula>
    </cfRule>
  </conditionalFormatting>
  <pageMargins left="0.39370078740157483" right="0.39370078740157483" top="0.39370078740157483" bottom="0.39370078740157483" header="0.19685039370078741" footer="0"/>
  <pageSetup paperSize="9" scale="54" orientation="landscape" r:id="rId2"/>
  <headerFooter alignWithMargins="0">
    <oddFooter>&amp;L&amp;"Arial,Fett"SNB Confidential&amp;C&amp;D&amp;RPage &amp;P</oddFooter>
  </headerFooter>
  <rowBreaks count="1" manualBreakCount="1">
    <brk id="36" max="16383" man="1"/>
  </rowBreaks>
  <colBreaks count="1" manualBreakCount="1">
    <brk id="11" max="34"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F55"/>
  <sheetViews>
    <sheetView showGridLines="0" showRowColHeaders="0" showZeros="0" zoomScale="80" zoomScaleNormal="80" workbookViewId="0">
      <pane xSplit="3" ySplit="13" topLeftCell="D14" activePane="bottomRight" state="frozen"/>
      <selection activeCell="T2" sqref="T2"/>
      <selection pane="topRight" activeCell="T2" sqref="T2"/>
      <selection pane="bottomLeft" activeCell="T2" sqref="T2"/>
      <selection pane="bottomRight" activeCell="L14" sqref="L14"/>
    </sheetView>
  </sheetViews>
  <sheetFormatPr baseColWidth="10" defaultColWidth="11.42578125" defaultRowHeight="12.75"/>
  <cols>
    <col min="1" max="1" width="8.42578125" style="4" customWidth="1"/>
    <col min="2" max="2" width="39.28515625" style="4" customWidth="1"/>
    <col min="3" max="3" width="4.7109375" style="4" customWidth="1"/>
    <col min="4" max="6" width="20.28515625" style="4" customWidth="1"/>
    <col min="7" max="7" width="15.7109375" style="4" customWidth="1"/>
    <col min="8" max="8" width="16.28515625" style="4" customWidth="1"/>
    <col min="9" max="9" width="15.7109375" style="4" customWidth="1"/>
    <col min="10" max="10" width="17.5703125" style="4" customWidth="1"/>
    <col min="11" max="11" width="24.85546875" style="4" customWidth="1"/>
    <col min="12" max="16" width="17.7109375" style="4" customWidth="1"/>
    <col min="17" max="20" width="20.28515625" style="4" customWidth="1"/>
    <col min="21" max="21" width="24.85546875" style="4" customWidth="1"/>
    <col min="22" max="22" width="4.7109375" style="4" customWidth="1"/>
    <col min="23" max="25" width="11.42578125" style="4" customWidth="1"/>
    <col min="26" max="26" width="21.5703125" style="4" customWidth="1"/>
    <col min="27" max="30" width="11.42578125" style="4" customWidth="1"/>
    <col min="31" max="31" width="21.5703125" style="4" customWidth="1"/>
    <col min="32" max="16384" width="11.42578125" style="4"/>
  </cols>
  <sheetData>
    <row r="1" spans="1:31" ht="20.25" customHeight="1">
      <c r="A1" s="6"/>
      <c r="B1" s="6"/>
      <c r="C1" s="6"/>
      <c r="E1" s="12" t="s">
        <v>46</v>
      </c>
      <c r="G1" s="11"/>
      <c r="H1" s="11"/>
      <c r="I1" s="11"/>
      <c r="J1" s="126" t="s">
        <v>61</v>
      </c>
      <c r="K1" s="305" t="s">
        <v>606</v>
      </c>
      <c r="L1" s="11"/>
      <c r="M1" s="12" t="s">
        <v>46</v>
      </c>
      <c r="N1" s="11"/>
      <c r="O1" s="11"/>
      <c r="P1" s="11"/>
      <c r="Q1" s="11"/>
      <c r="R1" s="11"/>
      <c r="S1" s="11"/>
      <c r="T1" s="126" t="s">
        <v>61</v>
      </c>
      <c r="U1" s="305" t="str">
        <f>K1</f>
        <v>CSIB_CRSABIS_04</v>
      </c>
      <c r="V1" s="11"/>
    </row>
    <row r="2" spans="1:31" ht="20.25" customHeight="1">
      <c r="A2" s="6"/>
      <c r="B2" s="11"/>
      <c r="C2" s="6"/>
      <c r="E2" s="669" t="s">
        <v>620</v>
      </c>
      <c r="F2" s="669"/>
      <c r="G2" s="669"/>
      <c r="H2" s="669"/>
      <c r="I2" s="669"/>
      <c r="J2" s="126" t="s">
        <v>1224</v>
      </c>
      <c r="K2" s="300" t="str">
        <f>'Delivery note'!H3</f>
        <v>XXXXXX</v>
      </c>
      <c r="L2" s="11"/>
      <c r="M2" s="669" t="s">
        <v>620</v>
      </c>
      <c r="N2" s="669"/>
      <c r="O2" s="669"/>
      <c r="P2" s="669"/>
      <c r="Q2" s="669"/>
      <c r="R2" s="11"/>
      <c r="S2" s="11"/>
      <c r="T2" s="126" t="s">
        <v>1224</v>
      </c>
      <c r="U2" s="300" t="str">
        <f>K2</f>
        <v>XXXXXX</v>
      </c>
      <c r="V2" s="11"/>
    </row>
    <row r="3" spans="1:31" ht="20.25" customHeight="1">
      <c r="A3" s="6"/>
      <c r="B3" s="11"/>
      <c r="C3" s="6"/>
      <c r="E3" s="144" t="s">
        <v>601</v>
      </c>
      <c r="G3" s="11"/>
      <c r="I3" s="85"/>
      <c r="J3" s="126" t="s">
        <v>546</v>
      </c>
      <c r="K3" s="306" t="str">
        <f>'Delivery note'!H4</f>
        <v>DD.MM.YYYY</v>
      </c>
      <c r="L3" s="11"/>
      <c r="M3" s="144" t="s">
        <v>601</v>
      </c>
      <c r="N3" s="6"/>
      <c r="O3" s="11"/>
      <c r="P3" s="11"/>
      <c r="Q3" s="11"/>
      <c r="R3" s="11"/>
      <c r="S3" s="11"/>
      <c r="T3" s="126" t="s">
        <v>546</v>
      </c>
      <c r="U3" s="306" t="str">
        <f>K3</f>
        <v>DD.MM.YYYY</v>
      </c>
      <c r="V3" s="11"/>
    </row>
    <row r="4" spans="1:31" ht="20.100000000000001" customHeight="1">
      <c r="A4" s="6"/>
      <c r="B4" s="11"/>
      <c r="C4" s="6"/>
      <c r="E4" s="145" t="s">
        <v>54</v>
      </c>
      <c r="H4" s="11"/>
      <c r="I4" s="85"/>
      <c r="J4" s="48"/>
      <c r="K4" s="116"/>
      <c r="L4" s="11"/>
      <c r="M4" s="145" t="s">
        <v>54</v>
      </c>
      <c r="N4" s="11"/>
      <c r="O4" s="11"/>
      <c r="P4" s="11"/>
      <c r="Q4" s="11"/>
      <c r="R4" s="11"/>
      <c r="S4" s="11"/>
      <c r="T4" s="11"/>
      <c r="U4" s="11"/>
      <c r="V4" s="11"/>
    </row>
    <row r="5" spans="1:31" ht="20.100000000000001" customHeight="1">
      <c r="A5" s="6"/>
      <c r="B5" s="11"/>
      <c r="C5" s="6"/>
      <c r="E5" s="146" t="s">
        <v>135</v>
      </c>
      <c r="F5" s="11"/>
      <c r="G5" s="11"/>
      <c r="H5" s="11"/>
      <c r="I5" s="11"/>
      <c r="J5" s="11"/>
      <c r="K5" s="11"/>
      <c r="L5" s="11"/>
      <c r="M5" s="146" t="s">
        <v>135</v>
      </c>
      <c r="N5" s="11"/>
      <c r="O5" s="11"/>
      <c r="P5" s="11"/>
      <c r="Q5" s="11"/>
      <c r="R5" s="11"/>
      <c r="S5" s="11"/>
      <c r="T5" s="11"/>
      <c r="U5" s="11"/>
      <c r="V5" s="11"/>
    </row>
    <row r="6" spans="1:31" ht="20.100000000000001" customHeight="1">
      <c r="A6" s="6"/>
      <c r="B6" s="11"/>
      <c r="C6" s="6"/>
      <c r="D6" s="6"/>
      <c r="E6" s="4" t="s">
        <v>6</v>
      </c>
      <c r="M6" s="4" t="s">
        <v>6</v>
      </c>
    </row>
    <row r="7" spans="1:31" ht="20.100000000000001" customHeight="1">
      <c r="A7" s="8"/>
      <c r="B7" s="11"/>
      <c r="C7" s="8"/>
      <c r="D7" s="8"/>
      <c r="F7" s="11"/>
      <c r="G7" s="11"/>
      <c r="H7" s="11"/>
      <c r="I7" s="11"/>
      <c r="J7" s="49"/>
      <c r="K7" s="49"/>
      <c r="L7" s="11"/>
      <c r="N7" s="49"/>
      <c r="O7" s="11"/>
      <c r="P7" s="11"/>
      <c r="Q7" s="11"/>
      <c r="R7" s="11"/>
      <c r="S7" s="11"/>
      <c r="T7" s="11"/>
      <c r="U7" s="11"/>
      <c r="V7" s="49"/>
    </row>
    <row r="8" spans="1:31" ht="14.25" customHeight="1">
      <c r="A8" s="161"/>
      <c r="B8" s="41"/>
      <c r="C8" s="151"/>
      <c r="D8" s="28" t="s">
        <v>8</v>
      </c>
      <c r="E8" s="28" t="s">
        <v>15</v>
      </c>
      <c r="F8" s="47" t="s">
        <v>19</v>
      </c>
      <c r="G8" s="34" t="s">
        <v>55</v>
      </c>
      <c r="H8" s="42"/>
      <c r="I8" s="42"/>
      <c r="J8" s="62"/>
      <c r="K8" s="35" t="s">
        <v>19</v>
      </c>
      <c r="L8" s="42" t="s">
        <v>26</v>
      </c>
      <c r="M8" s="38"/>
      <c r="N8" s="38"/>
      <c r="O8" s="38"/>
      <c r="P8" s="35"/>
      <c r="Q8" s="30" t="s">
        <v>33</v>
      </c>
      <c r="R8" s="30" t="s">
        <v>37</v>
      </c>
      <c r="S8" s="30" t="s">
        <v>42</v>
      </c>
      <c r="T8" s="46" t="s">
        <v>44</v>
      </c>
      <c r="U8" s="30" t="s">
        <v>13</v>
      </c>
      <c r="V8" s="151"/>
      <c r="W8" s="22"/>
      <c r="X8" s="22"/>
      <c r="Y8" s="6"/>
      <c r="Z8" s="6"/>
    </row>
    <row r="9" spans="1:31" ht="14.25" customHeight="1">
      <c r="A9" s="162"/>
      <c r="B9" s="12"/>
      <c r="C9" s="152"/>
      <c r="D9" s="29" t="s">
        <v>9</v>
      </c>
      <c r="E9" s="29" t="s">
        <v>16</v>
      </c>
      <c r="F9" s="44" t="s">
        <v>20</v>
      </c>
      <c r="G9" s="63" t="s">
        <v>56</v>
      </c>
      <c r="H9" s="64"/>
      <c r="I9" s="64"/>
      <c r="J9" s="43"/>
      <c r="K9" s="43" t="s">
        <v>20</v>
      </c>
      <c r="L9" s="33"/>
      <c r="M9" s="33"/>
      <c r="N9" s="33"/>
      <c r="O9" s="40"/>
      <c r="P9" s="37"/>
      <c r="Q9" s="32" t="s">
        <v>34</v>
      </c>
      <c r="R9" s="32" t="s">
        <v>38</v>
      </c>
      <c r="S9" s="32" t="s">
        <v>43</v>
      </c>
      <c r="T9" s="29" t="s">
        <v>45</v>
      </c>
      <c r="U9" s="29" t="s">
        <v>14</v>
      </c>
      <c r="V9" s="152"/>
      <c r="W9" s="22"/>
      <c r="X9" s="22"/>
      <c r="Y9" s="6"/>
      <c r="Z9" s="6"/>
    </row>
    <row r="10" spans="1:31" ht="14.25" customHeight="1">
      <c r="A10" s="162"/>
      <c r="B10" s="12"/>
      <c r="C10" s="152"/>
      <c r="D10" s="29" t="s">
        <v>7</v>
      </c>
      <c r="E10" s="29" t="s">
        <v>17</v>
      </c>
      <c r="F10" s="44" t="s">
        <v>21</v>
      </c>
      <c r="G10" s="63"/>
      <c r="H10" s="65"/>
      <c r="I10" s="65"/>
      <c r="J10" s="66"/>
      <c r="K10" s="43" t="s">
        <v>24</v>
      </c>
      <c r="L10" s="42" t="s">
        <v>27</v>
      </c>
      <c r="M10" s="35"/>
      <c r="N10" s="43" t="s">
        <v>30</v>
      </c>
      <c r="O10" s="34" t="s">
        <v>11</v>
      </c>
      <c r="P10" s="35"/>
      <c r="Q10" s="32" t="s">
        <v>35</v>
      </c>
      <c r="R10" s="32" t="s">
        <v>39</v>
      </c>
      <c r="S10" s="32" t="s">
        <v>119</v>
      </c>
      <c r="T10" s="32"/>
      <c r="U10" s="32" t="s">
        <v>58</v>
      </c>
      <c r="V10" s="152"/>
      <c r="W10" s="22"/>
      <c r="X10" s="22"/>
      <c r="Y10" s="6"/>
      <c r="Z10" s="6"/>
    </row>
    <row r="11" spans="1:31" ht="14.25" customHeight="1">
      <c r="A11" s="162"/>
      <c r="B11" s="12"/>
      <c r="C11" s="152"/>
      <c r="D11" s="29"/>
      <c r="E11" s="29" t="s">
        <v>18</v>
      </c>
      <c r="F11" s="44" t="s">
        <v>22</v>
      </c>
      <c r="G11" s="36"/>
      <c r="H11" s="40"/>
      <c r="I11" s="45"/>
      <c r="J11" s="37"/>
      <c r="K11" s="43" t="s">
        <v>25</v>
      </c>
      <c r="L11" s="45" t="s">
        <v>28</v>
      </c>
      <c r="M11" s="37"/>
      <c r="N11" s="37" t="s">
        <v>12</v>
      </c>
      <c r="O11" s="39" t="s">
        <v>10</v>
      </c>
      <c r="P11" s="37"/>
      <c r="Q11" s="32" t="s">
        <v>36</v>
      </c>
      <c r="R11" s="32" t="s">
        <v>40</v>
      </c>
      <c r="T11" s="32"/>
      <c r="U11" s="32" t="s">
        <v>162</v>
      </c>
      <c r="V11" s="152"/>
      <c r="W11" s="22"/>
      <c r="X11" s="22"/>
      <c r="Y11" s="6"/>
      <c r="Z11" s="6"/>
    </row>
    <row r="12" spans="1:31" ht="68.25" customHeight="1">
      <c r="A12" s="6"/>
      <c r="B12" s="6"/>
      <c r="C12" s="152"/>
      <c r="D12" s="32"/>
      <c r="E12" s="32" t="s">
        <v>160</v>
      </c>
      <c r="F12" s="44" t="s">
        <v>23</v>
      </c>
      <c r="G12" s="174" t="s">
        <v>5</v>
      </c>
      <c r="H12" s="175">
        <v>0.2</v>
      </c>
      <c r="I12" s="176">
        <v>0.5</v>
      </c>
      <c r="J12" s="175">
        <v>1</v>
      </c>
      <c r="K12" s="43" t="s">
        <v>60</v>
      </c>
      <c r="L12" s="177" t="s">
        <v>1</v>
      </c>
      <c r="M12" s="178" t="s">
        <v>29</v>
      </c>
      <c r="N12" s="178" t="s">
        <v>31</v>
      </c>
      <c r="O12" s="32" t="s">
        <v>161</v>
      </c>
      <c r="P12" s="32" t="s">
        <v>32</v>
      </c>
      <c r="Q12" s="32" t="s">
        <v>57</v>
      </c>
      <c r="R12" s="32" t="s">
        <v>41</v>
      </c>
      <c r="S12" s="32"/>
      <c r="T12" s="32"/>
      <c r="U12" s="32"/>
      <c r="V12" s="152"/>
      <c r="W12" s="9"/>
      <c r="X12" s="9"/>
      <c r="Y12" s="9"/>
      <c r="Z12" s="9"/>
    </row>
    <row r="13" spans="1:31" ht="20.100000000000001" customHeight="1">
      <c r="A13" s="11"/>
      <c r="B13" s="49"/>
      <c r="C13" s="153"/>
      <c r="D13" s="179" t="s">
        <v>95</v>
      </c>
      <c r="E13" s="179" t="s">
        <v>96</v>
      </c>
      <c r="F13" s="179" t="s">
        <v>97</v>
      </c>
      <c r="G13" s="179" t="s">
        <v>98</v>
      </c>
      <c r="H13" s="179" t="s">
        <v>99</v>
      </c>
      <c r="I13" s="179" t="s">
        <v>100</v>
      </c>
      <c r="J13" s="179" t="s">
        <v>101</v>
      </c>
      <c r="K13" s="179" t="s">
        <v>102</v>
      </c>
      <c r="L13" s="179" t="s">
        <v>103</v>
      </c>
      <c r="M13" s="179" t="s">
        <v>104</v>
      </c>
      <c r="N13" s="179" t="s">
        <v>105</v>
      </c>
      <c r="O13" s="179" t="s">
        <v>106</v>
      </c>
      <c r="P13" s="179" t="s">
        <v>107</v>
      </c>
      <c r="Q13" s="179" t="s">
        <v>108</v>
      </c>
      <c r="R13" s="179" t="s">
        <v>109</v>
      </c>
      <c r="S13" s="179" t="s">
        <v>110</v>
      </c>
      <c r="T13" s="179" t="s">
        <v>111</v>
      </c>
      <c r="U13" s="179" t="s">
        <v>112</v>
      </c>
      <c r="V13" s="153"/>
      <c r="X13" s="6" t="s">
        <v>131</v>
      </c>
      <c r="Y13" s="6" t="s">
        <v>132</v>
      </c>
      <c r="Z13" s="6" t="s">
        <v>133</v>
      </c>
      <c r="AA13" s="6" t="s">
        <v>113</v>
      </c>
      <c r="AB13" s="6" t="s">
        <v>114</v>
      </c>
      <c r="AC13" s="6" t="s">
        <v>117</v>
      </c>
      <c r="AD13" s="6" t="s">
        <v>115</v>
      </c>
      <c r="AE13" s="6" t="s">
        <v>118</v>
      </c>
    </row>
    <row r="14" spans="1:31" ht="20.100000000000001" customHeight="1" thickBot="1">
      <c r="A14" s="185"/>
      <c r="B14" s="154" t="s">
        <v>2</v>
      </c>
      <c r="C14" s="114">
        <v>1</v>
      </c>
      <c r="D14" s="27">
        <f>SUM(D19:D21,D23:D24,D26,D28,D32,D34)</f>
        <v>0</v>
      </c>
      <c r="E14" s="279">
        <f>SUM(E19:E21,E23:E24,E26,E28,E32,E34)</f>
        <v>0</v>
      </c>
      <c r="F14" s="27">
        <f>D14+E14</f>
        <v>0</v>
      </c>
      <c r="G14" s="279">
        <f>SUM(G19:G21,G23:G24,G26,G28,G32,G34)</f>
        <v>0</v>
      </c>
      <c r="H14" s="279">
        <f>SUM(H19:H21,H23:H24,H26,H28,H32,H34)</f>
        <v>0</v>
      </c>
      <c r="I14" s="279">
        <f>SUM(I19:I21,I23:I24,I26,I28,I32,I34)</f>
        <v>0</v>
      </c>
      <c r="J14" s="279">
        <f>SUM(J19:J21,J23:J24,J26,J28,J32,J34)</f>
        <v>0</v>
      </c>
      <c r="K14" s="51">
        <f>F14-G14-0.8*H14-0.5*I14</f>
        <v>0</v>
      </c>
      <c r="L14" s="50"/>
      <c r="M14" s="14"/>
      <c r="N14" s="25"/>
      <c r="O14" s="27">
        <f>(L14+M14+N14)*-1</f>
        <v>0</v>
      </c>
      <c r="P14" s="14"/>
      <c r="Q14" s="279">
        <f>SUM(Q19:Q21,Q23:Q24,Q26,Q28,Q32,Q34)</f>
        <v>0</v>
      </c>
      <c r="R14" s="14"/>
      <c r="S14" s="279">
        <f>SUM(S19:S21,S23:S24,S26,S28,S32,S34)</f>
        <v>0</v>
      </c>
      <c r="T14" s="279">
        <f>SUM(T19:T21,T23:T24,T26,T28,T32,T34)</f>
        <v>0</v>
      </c>
      <c r="U14" s="27">
        <f>T14*0.08</f>
        <v>0</v>
      </c>
      <c r="V14" s="114">
        <v>1</v>
      </c>
      <c r="W14" s="15"/>
      <c r="X14" s="180" t="str">
        <f>IF(D14&gt;=0,"OK","ERROR")</f>
        <v>OK</v>
      </c>
      <c r="Y14" s="180" t="str">
        <f>IF(E14&lt;=0,"OK","ERROR")</f>
        <v>OK</v>
      </c>
      <c r="Z14" s="180" t="str">
        <f>IF(MIN(F14:N14)&gt;=0,"OK","ERROR")</f>
        <v>OK</v>
      </c>
      <c r="AA14" s="180" t="str">
        <f>IF(O14&lt;=0,"OK","ERROR")</f>
        <v>OK</v>
      </c>
      <c r="AB14" s="180" t="str">
        <f>IF(P14&gt;=0,"OK","ERROR")</f>
        <v>OK</v>
      </c>
      <c r="AC14" s="180" t="str">
        <f>IF(Q14&gt;=0,"OK","ERROR")</f>
        <v>OK</v>
      </c>
      <c r="AD14" s="180" t="str">
        <f>IF(R14&lt;=0,"OK","ERROR")</f>
        <v>OK</v>
      </c>
      <c r="AE14" s="180" t="str">
        <f>IF(MIN(S14:U14)&gt;=0,"OK","ERROR")</f>
        <v>OK</v>
      </c>
    </row>
    <row r="15" spans="1:31" ht="30" customHeight="1" thickTop="1">
      <c r="A15" s="163"/>
      <c r="B15" s="155" t="s">
        <v>116</v>
      </c>
      <c r="C15" s="114"/>
      <c r="D15" s="143"/>
      <c r="E15" s="143"/>
      <c r="F15" s="143"/>
      <c r="G15" s="143"/>
      <c r="H15" s="143"/>
      <c r="I15" s="143"/>
      <c r="J15" s="143"/>
      <c r="K15" s="143"/>
      <c r="L15" s="143"/>
      <c r="M15" s="143"/>
      <c r="N15" s="143"/>
      <c r="O15" s="143"/>
      <c r="P15" s="143"/>
      <c r="Q15" s="143"/>
      <c r="R15" s="143"/>
      <c r="S15" s="143"/>
      <c r="T15" s="143"/>
      <c r="U15" s="143"/>
      <c r="V15" s="114"/>
      <c r="W15" s="147"/>
      <c r="X15" s="148"/>
      <c r="Y15" s="148"/>
      <c r="Z15" s="148"/>
      <c r="AA15" s="6"/>
      <c r="AB15" s="139"/>
      <c r="AC15" s="6"/>
      <c r="AD15" s="6"/>
      <c r="AE15" s="140"/>
    </row>
    <row r="16" spans="1:31" ht="20.100000000000001" customHeight="1" thickBot="1">
      <c r="A16" s="163"/>
      <c r="B16" s="156" t="s">
        <v>3</v>
      </c>
      <c r="C16" s="114">
        <v>2</v>
      </c>
      <c r="D16" s="14"/>
      <c r="E16" s="14"/>
      <c r="F16" s="27">
        <f>D16+E16</f>
        <v>0</v>
      </c>
      <c r="G16" s="13"/>
      <c r="H16" s="13"/>
      <c r="I16" s="13"/>
      <c r="J16" s="26"/>
      <c r="K16" s="52">
        <f>F16</f>
        <v>0</v>
      </c>
      <c r="L16" s="23"/>
      <c r="M16" s="13"/>
      <c r="N16" s="13"/>
      <c r="O16" s="13"/>
      <c r="P16" s="13"/>
      <c r="Q16" s="14"/>
      <c r="R16" s="13"/>
      <c r="S16" s="14"/>
      <c r="T16" s="14"/>
      <c r="U16" s="27">
        <f>T16*0.08</f>
        <v>0</v>
      </c>
      <c r="V16" s="114">
        <v>2</v>
      </c>
      <c r="W16" s="15"/>
      <c r="X16" s="115" t="str">
        <f>IF(D16&gt;=0,"OK","ERROR")</f>
        <v>OK</v>
      </c>
      <c r="Y16" s="115" t="str">
        <f>IF(E16&lt;=0,"OK","ERROR")</f>
        <v>OK</v>
      </c>
      <c r="Z16" s="115" t="str">
        <f>IF(MIN(F16:N16)&gt;=0,"OK","ERROR")</f>
        <v>OK</v>
      </c>
      <c r="AA16" s="6"/>
      <c r="AB16" s="6"/>
      <c r="AC16" s="115" t="str">
        <f>IF(Q16&gt;=0,"OK","ERROR")</f>
        <v>OK</v>
      </c>
      <c r="AD16" s="6"/>
      <c r="AE16" s="115" t="str">
        <f>IF(MIN(S16:U16)&gt;=0,"OK","ERROR")</f>
        <v>OK</v>
      </c>
    </row>
    <row r="17" spans="1:32" ht="20.100000000000001" customHeight="1" thickTop="1" thickBot="1">
      <c r="A17" s="163"/>
      <c r="B17" s="156" t="s">
        <v>4</v>
      </c>
      <c r="C17" s="114">
        <v>3</v>
      </c>
      <c r="D17" s="14"/>
      <c r="E17" s="14"/>
      <c r="F17" s="27">
        <f>D17+E17</f>
        <v>0</v>
      </c>
      <c r="G17" s="14"/>
      <c r="H17" s="14"/>
      <c r="I17" s="14"/>
      <c r="J17" s="25"/>
      <c r="K17" s="52">
        <f>F17-G17-0.8*H17-0.5*I17</f>
        <v>0</v>
      </c>
      <c r="L17" s="23"/>
      <c r="M17" s="13"/>
      <c r="N17" s="13"/>
      <c r="O17" s="13"/>
      <c r="P17" s="13"/>
      <c r="Q17" s="14"/>
      <c r="R17" s="13"/>
      <c r="S17" s="14"/>
      <c r="T17" s="14"/>
      <c r="U17" s="27">
        <f>T17*0.08</f>
        <v>0</v>
      </c>
      <c r="V17" s="114">
        <v>3</v>
      </c>
      <c r="W17" s="15"/>
      <c r="X17" s="115" t="str">
        <f>IF(D17&gt;=0,"OK","ERROR")</f>
        <v>OK</v>
      </c>
      <c r="Y17" s="115" t="str">
        <f>IF(E17&lt;=0,"OK","ERROR")</f>
        <v>OK</v>
      </c>
      <c r="Z17" s="115" t="str">
        <f>IF(MIN(F17:N17)&gt;=0,"OK","ERROR")</f>
        <v>OK</v>
      </c>
      <c r="AA17" s="6"/>
      <c r="AB17" s="6"/>
      <c r="AC17" s="115" t="str">
        <f>IF(Q17&gt;=0,"OK","ERROR")</f>
        <v>OK</v>
      </c>
      <c r="AD17" s="6"/>
      <c r="AE17" s="115" t="str">
        <f>IF(MIN(S17:U17)&gt;=0,"OK","ERROR")</f>
        <v>OK</v>
      </c>
    </row>
    <row r="18" spans="1:32" ht="44.25" customHeight="1" thickTop="1">
      <c r="A18" s="163"/>
      <c r="B18" s="155" t="s">
        <v>47</v>
      </c>
      <c r="C18" s="114"/>
      <c r="D18" s="143"/>
      <c r="E18" s="143"/>
      <c r="F18" s="143"/>
      <c r="G18" s="143"/>
      <c r="H18" s="143"/>
      <c r="I18" s="143"/>
      <c r="J18" s="143"/>
      <c r="K18" s="143"/>
      <c r="L18" s="143"/>
      <c r="M18" s="143"/>
      <c r="N18" s="143"/>
      <c r="O18" s="143"/>
      <c r="P18" s="143"/>
      <c r="Q18" s="143"/>
      <c r="R18" s="143"/>
      <c r="S18" s="143"/>
      <c r="T18" s="143"/>
      <c r="U18" s="143"/>
      <c r="V18" s="114"/>
      <c r="W18" s="147"/>
      <c r="X18" s="149"/>
      <c r="Y18" s="142"/>
      <c r="Z18" s="150"/>
      <c r="AA18" s="6"/>
      <c r="AB18" s="6"/>
      <c r="AC18" s="6"/>
      <c r="AD18" s="6"/>
      <c r="AE18" s="6"/>
      <c r="AF18" s="6"/>
    </row>
    <row r="19" spans="1:32" ht="20.100000000000001" customHeight="1" thickBot="1">
      <c r="A19" s="163"/>
      <c r="B19" s="157" t="s">
        <v>5</v>
      </c>
      <c r="C19" s="114">
        <v>4</v>
      </c>
      <c r="D19" s="14"/>
      <c r="E19" s="14"/>
      <c r="F19" s="27">
        <f t="shared" ref="F19:F34" si="0">D19+E19</f>
        <v>0</v>
      </c>
      <c r="G19" s="14"/>
      <c r="H19" s="14"/>
      <c r="I19" s="14"/>
      <c r="J19" s="25"/>
      <c r="K19" s="52">
        <f t="shared" ref="K19:K34" si="1">F19-G19-0.8*H19-0.5*I19</f>
        <v>0</v>
      </c>
      <c r="L19" s="23"/>
      <c r="M19" s="13"/>
      <c r="N19" s="13"/>
      <c r="O19" s="13"/>
      <c r="P19" s="13"/>
      <c r="Q19" s="14"/>
      <c r="R19" s="13"/>
      <c r="S19" s="14"/>
      <c r="T19" s="13"/>
      <c r="U19" s="13"/>
      <c r="V19" s="114">
        <v>4</v>
      </c>
      <c r="W19" s="15"/>
      <c r="X19" s="115" t="str">
        <f t="shared" ref="X19:X34" si="2">IF(D19&gt;=0,"OK","ERROR")</f>
        <v>OK</v>
      </c>
      <c r="Y19" s="115" t="str">
        <f t="shared" ref="Y19:Y34" si="3">IF(E19&lt;=0,"OK","ERROR")</f>
        <v>OK</v>
      </c>
      <c r="Z19" s="115" t="str">
        <f t="shared" ref="Z19:Z34" si="4">IF(MIN(F19:N19)&gt;=0,"OK","ERROR")</f>
        <v>OK</v>
      </c>
      <c r="AA19" s="6"/>
      <c r="AB19" s="6"/>
      <c r="AC19" s="115" t="str">
        <f t="shared" ref="AC19:AC34" si="5">IF(Q19&gt;=0,"OK","ERROR")</f>
        <v>OK</v>
      </c>
      <c r="AD19" s="6"/>
      <c r="AE19" s="115" t="str">
        <f t="shared" ref="AE19:AE34" si="6">IF(MIN(S19:U19)&gt;=0,"OK","ERROR")</f>
        <v>OK</v>
      </c>
    </row>
    <row r="20" spans="1:32" ht="20.100000000000001" customHeight="1" thickTop="1" thickBot="1">
      <c r="A20" s="163"/>
      <c r="B20" s="158">
        <v>0.1</v>
      </c>
      <c r="C20" s="280">
        <v>19</v>
      </c>
      <c r="D20" s="14"/>
      <c r="E20" s="14"/>
      <c r="F20" s="279">
        <f t="shared" si="0"/>
        <v>0</v>
      </c>
      <c r="G20" s="14"/>
      <c r="H20" s="14"/>
      <c r="I20" s="14"/>
      <c r="J20" s="25"/>
      <c r="K20" s="52">
        <f t="shared" si="1"/>
        <v>0</v>
      </c>
      <c r="L20" s="23"/>
      <c r="M20" s="13"/>
      <c r="N20" s="13"/>
      <c r="O20" s="13"/>
      <c r="P20" s="13"/>
      <c r="Q20" s="14"/>
      <c r="R20" s="13"/>
      <c r="S20" s="14"/>
      <c r="T20" s="279">
        <f>S20*0.1</f>
        <v>0</v>
      </c>
      <c r="U20" s="279">
        <f>T20*0.08</f>
        <v>0</v>
      </c>
      <c r="V20" s="280">
        <v>19</v>
      </c>
      <c r="W20" s="15"/>
      <c r="X20" s="115" t="str">
        <f>IF(D20&gt;=0,"OK","ERROR")</f>
        <v>OK</v>
      </c>
      <c r="Y20" s="115" t="str">
        <f>IF(E20&lt;=0,"OK","ERROR")</f>
        <v>OK</v>
      </c>
      <c r="Z20" s="115" t="str">
        <f>IF(MIN(F20:N20)&gt;=0,"OK","ERROR")</f>
        <v>OK</v>
      </c>
      <c r="AA20" s="6"/>
      <c r="AB20" s="6"/>
      <c r="AC20" s="115" t="str">
        <f t="shared" si="5"/>
        <v>OK</v>
      </c>
      <c r="AD20" s="6"/>
      <c r="AE20" s="115" t="str">
        <f t="shared" si="6"/>
        <v>OK</v>
      </c>
    </row>
    <row r="21" spans="1:32" ht="20.100000000000001" customHeight="1" thickTop="1" thickBot="1">
      <c r="A21" s="163"/>
      <c r="B21" s="158" t="s">
        <v>59</v>
      </c>
      <c r="C21" s="114">
        <v>5</v>
      </c>
      <c r="D21" s="14"/>
      <c r="E21" s="14"/>
      <c r="F21" s="27">
        <f t="shared" si="0"/>
        <v>0</v>
      </c>
      <c r="G21" s="14"/>
      <c r="H21" s="14"/>
      <c r="I21" s="14"/>
      <c r="J21" s="25"/>
      <c r="K21" s="52">
        <f t="shared" si="1"/>
        <v>0</v>
      </c>
      <c r="L21" s="23"/>
      <c r="M21" s="13"/>
      <c r="N21" s="13"/>
      <c r="O21" s="13"/>
      <c r="P21" s="13"/>
      <c r="Q21" s="14"/>
      <c r="R21" s="13"/>
      <c r="S21" s="14"/>
      <c r="T21" s="27">
        <f>S21*0.2</f>
        <v>0</v>
      </c>
      <c r="U21" s="27">
        <f t="shared" ref="U21:U34" si="7">T21*0.08</f>
        <v>0</v>
      </c>
      <c r="V21" s="114">
        <v>5</v>
      </c>
      <c r="W21" s="15"/>
      <c r="X21" s="115" t="str">
        <f t="shared" si="2"/>
        <v>OK</v>
      </c>
      <c r="Y21" s="115" t="str">
        <f t="shared" si="3"/>
        <v>OK</v>
      </c>
      <c r="Z21" s="115" t="str">
        <f t="shared" si="4"/>
        <v>OK</v>
      </c>
      <c r="AA21" s="6"/>
      <c r="AB21" s="6"/>
      <c r="AC21" s="115" t="str">
        <f t="shared" si="5"/>
        <v>OK</v>
      </c>
      <c r="AD21" s="6"/>
      <c r="AE21" s="115" t="str">
        <f t="shared" si="6"/>
        <v>OK</v>
      </c>
    </row>
    <row r="22" spans="1:32" ht="20.100000000000001" customHeight="1" thickTop="1" thickBot="1">
      <c r="A22" s="164"/>
      <c r="B22" s="158" t="s">
        <v>50</v>
      </c>
      <c r="C22" s="114">
        <v>6</v>
      </c>
      <c r="D22" s="14"/>
      <c r="E22" s="14"/>
      <c r="F22" s="27">
        <f t="shared" si="0"/>
        <v>0</v>
      </c>
      <c r="G22" s="14"/>
      <c r="H22" s="14"/>
      <c r="I22" s="14"/>
      <c r="J22" s="25"/>
      <c r="K22" s="52">
        <f t="shared" si="1"/>
        <v>0</v>
      </c>
      <c r="L22" s="23"/>
      <c r="M22" s="13"/>
      <c r="N22" s="13"/>
      <c r="O22" s="13"/>
      <c r="P22" s="13"/>
      <c r="Q22" s="14"/>
      <c r="R22" s="13"/>
      <c r="S22" s="14"/>
      <c r="T22" s="27">
        <f>S22*0.2</f>
        <v>0</v>
      </c>
      <c r="U22" s="27">
        <f t="shared" si="7"/>
        <v>0</v>
      </c>
      <c r="V22" s="114">
        <v>6</v>
      </c>
      <c r="W22" s="15"/>
      <c r="X22" s="115" t="str">
        <f t="shared" si="2"/>
        <v>OK</v>
      </c>
      <c r="Y22" s="115" t="str">
        <f t="shared" si="3"/>
        <v>OK</v>
      </c>
      <c r="Z22" s="115" t="str">
        <f t="shared" si="4"/>
        <v>OK</v>
      </c>
      <c r="AA22" s="6"/>
      <c r="AB22" s="6"/>
      <c r="AC22" s="115" t="str">
        <f t="shared" si="5"/>
        <v>OK</v>
      </c>
      <c r="AD22" s="6"/>
      <c r="AE22" s="115" t="str">
        <f t="shared" si="6"/>
        <v>OK</v>
      </c>
    </row>
    <row r="23" spans="1:32" ht="16.5" customHeight="1" thickTop="1" thickBot="1">
      <c r="A23" s="11"/>
      <c r="B23" s="158">
        <v>0.35</v>
      </c>
      <c r="C23" s="114">
        <v>7</v>
      </c>
      <c r="D23" s="14"/>
      <c r="E23" s="14"/>
      <c r="F23" s="27">
        <f t="shared" si="0"/>
        <v>0</v>
      </c>
      <c r="G23" s="14"/>
      <c r="H23" s="14"/>
      <c r="I23" s="14"/>
      <c r="J23" s="25"/>
      <c r="K23" s="52">
        <f t="shared" si="1"/>
        <v>0</v>
      </c>
      <c r="L23" s="23"/>
      <c r="M23" s="13"/>
      <c r="N23" s="13"/>
      <c r="O23" s="13"/>
      <c r="P23" s="13"/>
      <c r="Q23" s="14"/>
      <c r="R23" s="13"/>
      <c r="S23" s="14"/>
      <c r="T23" s="27">
        <f>S23*0.35</f>
        <v>0</v>
      </c>
      <c r="U23" s="27">
        <f t="shared" si="7"/>
        <v>0</v>
      </c>
      <c r="V23" s="114">
        <v>7</v>
      </c>
      <c r="W23" s="15"/>
      <c r="X23" s="115" t="str">
        <f t="shared" si="2"/>
        <v>OK</v>
      </c>
      <c r="Y23" s="115" t="str">
        <f t="shared" si="3"/>
        <v>OK</v>
      </c>
      <c r="Z23" s="115" t="str">
        <f t="shared" si="4"/>
        <v>OK</v>
      </c>
      <c r="AA23" s="6"/>
      <c r="AB23" s="6"/>
      <c r="AC23" s="115" t="str">
        <f t="shared" si="5"/>
        <v>OK</v>
      </c>
      <c r="AD23" s="6"/>
      <c r="AE23" s="115" t="str">
        <f t="shared" si="6"/>
        <v>OK</v>
      </c>
    </row>
    <row r="24" spans="1:32" ht="20.100000000000001" customHeight="1" thickTop="1" thickBot="1">
      <c r="A24" s="163"/>
      <c r="B24" s="158" t="s">
        <v>48</v>
      </c>
      <c r="C24" s="114">
        <v>8</v>
      </c>
      <c r="D24" s="14"/>
      <c r="E24" s="14"/>
      <c r="F24" s="27">
        <f t="shared" si="0"/>
        <v>0</v>
      </c>
      <c r="G24" s="14"/>
      <c r="H24" s="14"/>
      <c r="I24" s="14"/>
      <c r="J24" s="25"/>
      <c r="K24" s="52">
        <f t="shared" si="1"/>
        <v>0</v>
      </c>
      <c r="L24" s="23"/>
      <c r="M24" s="13"/>
      <c r="N24" s="13"/>
      <c r="O24" s="13"/>
      <c r="P24" s="13"/>
      <c r="Q24" s="14"/>
      <c r="R24" s="13"/>
      <c r="S24" s="14"/>
      <c r="T24" s="27">
        <f>S24*0.5</f>
        <v>0</v>
      </c>
      <c r="U24" s="27">
        <f t="shared" si="7"/>
        <v>0</v>
      </c>
      <c r="V24" s="114">
        <v>8</v>
      </c>
      <c r="W24" s="15"/>
      <c r="X24" s="115" t="str">
        <f t="shared" si="2"/>
        <v>OK</v>
      </c>
      <c r="Y24" s="115" t="str">
        <f t="shared" si="3"/>
        <v>OK</v>
      </c>
      <c r="Z24" s="115" t="str">
        <f t="shared" si="4"/>
        <v>OK</v>
      </c>
      <c r="AA24" s="6"/>
      <c r="AB24" s="6"/>
      <c r="AC24" s="115" t="str">
        <f t="shared" si="5"/>
        <v>OK</v>
      </c>
      <c r="AD24" s="6"/>
      <c r="AE24" s="115" t="str">
        <f t="shared" si="6"/>
        <v>OK</v>
      </c>
    </row>
    <row r="25" spans="1:32" ht="20.100000000000001" customHeight="1" thickTop="1" thickBot="1">
      <c r="A25" s="163"/>
      <c r="B25" s="158" t="s">
        <v>50</v>
      </c>
      <c r="C25" s="114">
        <v>9</v>
      </c>
      <c r="D25" s="14"/>
      <c r="E25" s="14"/>
      <c r="F25" s="27">
        <f t="shared" si="0"/>
        <v>0</v>
      </c>
      <c r="G25" s="14"/>
      <c r="H25" s="14"/>
      <c r="I25" s="14"/>
      <c r="J25" s="25"/>
      <c r="K25" s="52">
        <f t="shared" si="1"/>
        <v>0</v>
      </c>
      <c r="L25" s="23"/>
      <c r="M25" s="13"/>
      <c r="N25" s="13"/>
      <c r="O25" s="13"/>
      <c r="P25" s="13"/>
      <c r="Q25" s="14"/>
      <c r="R25" s="13"/>
      <c r="S25" s="14"/>
      <c r="T25" s="27">
        <f>S25*0.5</f>
        <v>0</v>
      </c>
      <c r="U25" s="27">
        <f t="shared" si="7"/>
        <v>0</v>
      </c>
      <c r="V25" s="114">
        <v>9</v>
      </c>
      <c r="W25" s="15"/>
      <c r="X25" s="115" t="str">
        <f t="shared" si="2"/>
        <v>OK</v>
      </c>
      <c r="Y25" s="115" t="str">
        <f t="shared" si="3"/>
        <v>OK</v>
      </c>
      <c r="Z25" s="115" t="str">
        <f t="shared" si="4"/>
        <v>OK</v>
      </c>
      <c r="AA25" s="6"/>
      <c r="AB25" s="6"/>
      <c r="AC25" s="115" t="str">
        <f t="shared" si="5"/>
        <v>OK</v>
      </c>
      <c r="AD25" s="6"/>
      <c r="AE25" s="115" t="str">
        <f t="shared" si="6"/>
        <v>OK</v>
      </c>
    </row>
    <row r="26" spans="1:32" ht="20.100000000000001" customHeight="1" thickTop="1" thickBot="1">
      <c r="A26" s="163"/>
      <c r="B26" s="158" t="s">
        <v>552</v>
      </c>
      <c r="C26" s="114">
        <v>11</v>
      </c>
      <c r="D26" s="14"/>
      <c r="E26" s="14"/>
      <c r="F26" s="27">
        <f t="shared" si="0"/>
        <v>0</v>
      </c>
      <c r="G26" s="14"/>
      <c r="H26" s="14"/>
      <c r="I26" s="14"/>
      <c r="J26" s="25"/>
      <c r="K26" s="52">
        <f t="shared" si="1"/>
        <v>0</v>
      </c>
      <c r="L26" s="23"/>
      <c r="M26" s="13"/>
      <c r="N26" s="13"/>
      <c r="O26" s="13"/>
      <c r="P26" s="13"/>
      <c r="Q26" s="14"/>
      <c r="R26" s="13"/>
      <c r="S26" s="14"/>
      <c r="T26" s="27">
        <f>S26*0.75</f>
        <v>0</v>
      </c>
      <c r="U26" s="27">
        <f t="shared" si="7"/>
        <v>0</v>
      </c>
      <c r="V26" s="114">
        <v>11</v>
      </c>
      <c r="W26" s="15"/>
      <c r="X26" s="115" t="str">
        <f t="shared" si="2"/>
        <v>OK</v>
      </c>
      <c r="Y26" s="115" t="str">
        <f t="shared" si="3"/>
        <v>OK</v>
      </c>
      <c r="Z26" s="115" t="str">
        <f t="shared" si="4"/>
        <v>OK</v>
      </c>
      <c r="AA26" s="6"/>
      <c r="AB26" s="6"/>
      <c r="AC26" s="115" t="str">
        <f t="shared" si="5"/>
        <v>OK</v>
      </c>
      <c r="AD26" s="6"/>
      <c r="AE26" s="115" t="str">
        <f t="shared" si="6"/>
        <v>OK</v>
      </c>
    </row>
    <row r="27" spans="1:32" ht="20.100000000000001" customHeight="1" thickTop="1" thickBot="1">
      <c r="A27" s="163"/>
      <c r="B27" s="159" t="s">
        <v>49</v>
      </c>
      <c r="C27" s="280">
        <v>20</v>
      </c>
      <c r="D27" s="14"/>
      <c r="E27" s="14"/>
      <c r="F27" s="279">
        <f t="shared" si="0"/>
        <v>0</v>
      </c>
      <c r="G27" s="14"/>
      <c r="H27" s="14"/>
      <c r="I27" s="14"/>
      <c r="J27" s="25"/>
      <c r="K27" s="52">
        <f t="shared" si="1"/>
        <v>0</v>
      </c>
      <c r="L27" s="23"/>
      <c r="M27" s="13"/>
      <c r="N27" s="13"/>
      <c r="O27" s="13"/>
      <c r="P27" s="13"/>
      <c r="Q27" s="14"/>
      <c r="R27" s="13"/>
      <c r="S27" s="14"/>
      <c r="T27" s="279">
        <f>S27*0.75</f>
        <v>0</v>
      </c>
      <c r="U27" s="279">
        <f t="shared" si="7"/>
        <v>0</v>
      </c>
      <c r="V27" s="280">
        <v>20</v>
      </c>
      <c r="W27" s="15"/>
      <c r="X27" s="115" t="str">
        <f>IF(D27&gt;=0,"OK","ERROR")</f>
        <v>OK</v>
      </c>
      <c r="Y27" s="115" t="str">
        <f>IF(E27&lt;=0,"OK","ERROR")</f>
        <v>OK</v>
      </c>
      <c r="Z27" s="115" t="str">
        <f>IF(MIN(F27:N27)&gt;=0,"OK","ERROR")</f>
        <v>OK</v>
      </c>
      <c r="AA27" s="6"/>
      <c r="AB27" s="6"/>
      <c r="AC27" s="115" t="str">
        <f t="shared" si="5"/>
        <v>OK</v>
      </c>
      <c r="AD27" s="6"/>
      <c r="AE27" s="115" t="str">
        <f t="shared" si="6"/>
        <v>OK</v>
      </c>
    </row>
    <row r="28" spans="1:32" ht="19.5" customHeight="1" thickTop="1" thickBot="1">
      <c r="A28" s="163"/>
      <c r="B28" s="158" t="s">
        <v>51</v>
      </c>
      <c r="C28" s="114">
        <v>12</v>
      </c>
      <c r="D28" s="14"/>
      <c r="E28" s="14"/>
      <c r="F28" s="27">
        <f t="shared" si="0"/>
        <v>0</v>
      </c>
      <c r="G28" s="14"/>
      <c r="H28" s="14"/>
      <c r="I28" s="14"/>
      <c r="J28" s="25"/>
      <c r="K28" s="52">
        <f t="shared" si="1"/>
        <v>0</v>
      </c>
      <c r="L28" s="23"/>
      <c r="M28" s="13"/>
      <c r="N28" s="13"/>
      <c r="O28" s="13"/>
      <c r="P28" s="13"/>
      <c r="Q28" s="14"/>
      <c r="R28" s="13"/>
      <c r="S28" s="14"/>
      <c r="T28" s="27">
        <f>S28*1</f>
        <v>0</v>
      </c>
      <c r="U28" s="27">
        <f t="shared" si="7"/>
        <v>0</v>
      </c>
      <c r="V28" s="114">
        <v>12</v>
      </c>
      <c r="W28" s="15"/>
      <c r="X28" s="115" t="str">
        <f t="shared" si="2"/>
        <v>OK</v>
      </c>
      <c r="Y28" s="115" t="str">
        <f t="shared" si="3"/>
        <v>OK</v>
      </c>
      <c r="Z28" s="115" t="str">
        <f t="shared" si="4"/>
        <v>OK</v>
      </c>
      <c r="AA28" s="6"/>
      <c r="AB28" s="6"/>
      <c r="AC28" s="115" t="str">
        <f t="shared" si="5"/>
        <v>OK</v>
      </c>
      <c r="AD28" s="6"/>
      <c r="AE28" s="115" t="str">
        <f t="shared" si="6"/>
        <v>OK</v>
      </c>
    </row>
    <row r="29" spans="1:32" ht="19.5" customHeight="1" thickTop="1" thickBot="1">
      <c r="A29" s="163"/>
      <c r="B29" s="158" t="s">
        <v>50</v>
      </c>
      <c r="C29" s="114">
        <v>13</v>
      </c>
      <c r="D29" s="14"/>
      <c r="E29" s="14"/>
      <c r="F29" s="27">
        <f t="shared" si="0"/>
        <v>0</v>
      </c>
      <c r="G29" s="14"/>
      <c r="H29" s="14"/>
      <c r="I29" s="14"/>
      <c r="J29" s="25"/>
      <c r="K29" s="52">
        <f t="shared" si="1"/>
        <v>0</v>
      </c>
      <c r="L29" s="23"/>
      <c r="M29" s="13"/>
      <c r="N29" s="13"/>
      <c r="O29" s="13"/>
      <c r="P29" s="13"/>
      <c r="Q29" s="14"/>
      <c r="R29" s="13"/>
      <c r="S29" s="14"/>
      <c r="T29" s="27">
        <f>S29*1</f>
        <v>0</v>
      </c>
      <c r="U29" s="27">
        <f t="shared" si="7"/>
        <v>0</v>
      </c>
      <c r="V29" s="114">
        <v>13</v>
      </c>
      <c r="W29" s="15"/>
      <c r="X29" s="115" t="str">
        <f t="shared" si="2"/>
        <v>OK</v>
      </c>
      <c r="Y29" s="115" t="str">
        <f t="shared" si="3"/>
        <v>OK</v>
      </c>
      <c r="Z29" s="115" t="str">
        <f t="shared" si="4"/>
        <v>OK</v>
      </c>
      <c r="AA29" s="6"/>
      <c r="AB29" s="6"/>
      <c r="AC29" s="115" t="str">
        <f t="shared" si="5"/>
        <v>OK</v>
      </c>
      <c r="AD29" s="6"/>
      <c r="AE29" s="115" t="str">
        <f t="shared" si="6"/>
        <v>OK</v>
      </c>
    </row>
    <row r="30" spans="1:32" ht="19.5" customHeight="1" thickTop="1" thickBot="1">
      <c r="A30" s="163"/>
      <c r="B30" s="159" t="s">
        <v>49</v>
      </c>
      <c r="C30" s="114">
        <v>14</v>
      </c>
      <c r="D30" s="14"/>
      <c r="E30" s="14"/>
      <c r="F30" s="27">
        <f t="shared" si="0"/>
        <v>0</v>
      </c>
      <c r="G30" s="14"/>
      <c r="H30" s="14"/>
      <c r="I30" s="14"/>
      <c r="J30" s="25"/>
      <c r="K30" s="52">
        <f t="shared" si="1"/>
        <v>0</v>
      </c>
      <c r="L30" s="23"/>
      <c r="M30" s="13"/>
      <c r="N30" s="13"/>
      <c r="O30" s="13"/>
      <c r="P30" s="13"/>
      <c r="Q30" s="14"/>
      <c r="R30" s="13"/>
      <c r="S30" s="14"/>
      <c r="T30" s="27">
        <f>S30*1</f>
        <v>0</v>
      </c>
      <c r="U30" s="27">
        <f t="shared" si="7"/>
        <v>0</v>
      </c>
      <c r="V30" s="114">
        <v>14</v>
      </c>
      <c r="W30" s="15"/>
      <c r="X30" s="115" t="str">
        <f t="shared" si="2"/>
        <v>OK</v>
      </c>
      <c r="Y30" s="115" t="str">
        <f t="shared" si="3"/>
        <v>OK</v>
      </c>
      <c r="Z30" s="115" t="str">
        <f t="shared" si="4"/>
        <v>OK</v>
      </c>
      <c r="AA30" s="6"/>
      <c r="AB30" s="6"/>
      <c r="AC30" s="115" t="str">
        <f t="shared" si="5"/>
        <v>OK</v>
      </c>
      <c r="AD30" s="6"/>
      <c r="AE30" s="115" t="str">
        <f t="shared" si="6"/>
        <v>OK</v>
      </c>
    </row>
    <row r="31" spans="1:32" ht="19.5" customHeight="1" thickTop="1" thickBot="1">
      <c r="A31" s="163"/>
      <c r="B31" s="158" t="s">
        <v>52</v>
      </c>
      <c r="C31" s="114">
        <v>15</v>
      </c>
      <c r="D31" s="14"/>
      <c r="E31" s="14"/>
      <c r="F31" s="27">
        <f t="shared" si="0"/>
        <v>0</v>
      </c>
      <c r="G31" s="14"/>
      <c r="H31" s="14"/>
      <c r="I31" s="14"/>
      <c r="J31" s="25"/>
      <c r="K31" s="52">
        <f t="shared" si="1"/>
        <v>0</v>
      </c>
      <c r="L31" s="23"/>
      <c r="M31" s="13"/>
      <c r="N31" s="13"/>
      <c r="O31" s="13"/>
      <c r="P31" s="13"/>
      <c r="Q31" s="14"/>
      <c r="R31" s="13"/>
      <c r="S31" s="14"/>
      <c r="T31" s="27">
        <f>S31*1</f>
        <v>0</v>
      </c>
      <c r="U31" s="27">
        <f t="shared" si="7"/>
        <v>0</v>
      </c>
      <c r="V31" s="114">
        <v>15</v>
      </c>
      <c r="W31" s="15"/>
      <c r="X31" s="115" t="str">
        <f t="shared" si="2"/>
        <v>OK</v>
      </c>
      <c r="Y31" s="115" t="str">
        <f t="shared" si="3"/>
        <v>OK</v>
      </c>
      <c r="Z31" s="115" t="str">
        <f t="shared" si="4"/>
        <v>OK</v>
      </c>
      <c r="AA31" s="6"/>
      <c r="AB31" s="6"/>
      <c r="AC31" s="115" t="str">
        <f t="shared" si="5"/>
        <v>OK</v>
      </c>
      <c r="AD31" s="6"/>
      <c r="AE31" s="115" t="str">
        <f t="shared" si="6"/>
        <v>OK</v>
      </c>
    </row>
    <row r="32" spans="1:32" ht="19.5" customHeight="1" thickTop="1" thickBot="1">
      <c r="A32" s="163"/>
      <c r="B32" s="158" t="s">
        <v>53</v>
      </c>
      <c r="C32" s="114">
        <v>16</v>
      </c>
      <c r="D32" s="14"/>
      <c r="E32" s="14"/>
      <c r="F32" s="27">
        <f t="shared" si="0"/>
        <v>0</v>
      </c>
      <c r="G32" s="14"/>
      <c r="H32" s="14"/>
      <c r="I32" s="14"/>
      <c r="J32" s="25"/>
      <c r="K32" s="52">
        <f t="shared" si="1"/>
        <v>0</v>
      </c>
      <c r="L32" s="23"/>
      <c r="M32" s="13"/>
      <c r="N32" s="13"/>
      <c r="O32" s="13"/>
      <c r="P32" s="13"/>
      <c r="Q32" s="14"/>
      <c r="R32" s="13"/>
      <c r="S32" s="14"/>
      <c r="T32" s="27">
        <f>S32*1.5</f>
        <v>0</v>
      </c>
      <c r="U32" s="27">
        <f t="shared" si="7"/>
        <v>0</v>
      </c>
      <c r="V32" s="114">
        <v>16</v>
      </c>
      <c r="W32" s="15"/>
      <c r="X32" s="115" t="str">
        <f t="shared" si="2"/>
        <v>OK</v>
      </c>
      <c r="Y32" s="115" t="str">
        <f t="shared" si="3"/>
        <v>OK</v>
      </c>
      <c r="Z32" s="115" t="str">
        <f t="shared" si="4"/>
        <v>OK</v>
      </c>
      <c r="AA32" s="6"/>
      <c r="AB32" s="6"/>
      <c r="AC32" s="115" t="str">
        <f t="shared" si="5"/>
        <v>OK</v>
      </c>
      <c r="AD32" s="6"/>
      <c r="AE32" s="115" t="str">
        <f t="shared" si="6"/>
        <v>OK</v>
      </c>
    </row>
    <row r="33" spans="1:32" ht="19.5" customHeight="1" thickTop="1" thickBot="1">
      <c r="A33" s="163"/>
      <c r="B33" s="158" t="s">
        <v>52</v>
      </c>
      <c r="C33" s="114">
        <v>17</v>
      </c>
      <c r="D33" s="14"/>
      <c r="E33" s="14"/>
      <c r="F33" s="27">
        <f t="shared" si="0"/>
        <v>0</v>
      </c>
      <c r="G33" s="14"/>
      <c r="H33" s="14"/>
      <c r="I33" s="14"/>
      <c r="J33" s="25"/>
      <c r="K33" s="52">
        <f t="shared" si="1"/>
        <v>0</v>
      </c>
      <c r="L33" s="23"/>
      <c r="M33" s="13"/>
      <c r="N33" s="13"/>
      <c r="O33" s="13"/>
      <c r="P33" s="13"/>
      <c r="Q33" s="14"/>
      <c r="R33" s="13"/>
      <c r="S33" s="14"/>
      <c r="T33" s="27">
        <f>S33*1.5</f>
        <v>0</v>
      </c>
      <c r="U33" s="27">
        <f t="shared" si="7"/>
        <v>0</v>
      </c>
      <c r="V33" s="114">
        <v>17</v>
      </c>
      <c r="W33" s="15"/>
      <c r="X33" s="115" t="str">
        <f t="shared" si="2"/>
        <v>OK</v>
      </c>
      <c r="Y33" s="115" t="str">
        <f t="shared" si="3"/>
        <v>OK</v>
      </c>
      <c r="Z33" s="115" t="str">
        <f t="shared" si="4"/>
        <v>OK</v>
      </c>
      <c r="AA33" s="6"/>
      <c r="AB33" s="6"/>
      <c r="AC33" s="115" t="str">
        <f t="shared" si="5"/>
        <v>OK</v>
      </c>
      <c r="AD33" s="6"/>
      <c r="AE33" s="115" t="str">
        <f t="shared" si="6"/>
        <v>OK</v>
      </c>
    </row>
    <row r="34" spans="1:32" ht="20.100000000000001" customHeight="1" thickTop="1" thickBot="1">
      <c r="A34" s="163"/>
      <c r="B34" s="158">
        <v>3.5</v>
      </c>
      <c r="C34" s="114">
        <v>18</v>
      </c>
      <c r="D34" s="14"/>
      <c r="E34" s="14"/>
      <c r="F34" s="27">
        <f t="shared" si="0"/>
        <v>0</v>
      </c>
      <c r="G34" s="14"/>
      <c r="H34" s="14"/>
      <c r="I34" s="14"/>
      <c r="J34" s="25"/>
      <c r="K34" s="52">
        <f t="shared" si="1"/>
        <v>0</v>
      </c>
      <c r="L34" s="23"/>
      <c r="M34" s="13"/>
      <c r="N34" s="13"/>
      <c r="O34" s="13"/>
      <c r="P34" s="13"/>
      <c r="Q34" s="14"/>
      <c r="R34" s="13"/>
      <c r="S34" s="14"/>
      <c r="T34" s="27">
        <f>S34*3.5</f>
        <v>0</v>
      </c>
      <c r="U34" s="27">
        <f t="shared" si="7"/>
        <v>0</v>
      </c>
      <c r="V34" s="114">
        <v>18</v>
      </c>
      <c r="W34" s="15"/>
      <c r="X34" s="115" t="str">
        <f t="shared" si="2"/>
        <v>OK</v>
      </c>
      <c r="Y34" s="115" t="str">
        <f t="shared" si="3"/>
        <v>OK</v>
      </c>
      <c r="Z34" s="115" t="str">
        <f t="shared" si="4"/>
        <v>OK</v>
      </c>
      <c r="AA34" s="6"/>
      <c r="AB34" s="6"/>
      <c r="AC34" s="115" t="str">
        <f t="shared" si="5"/>
        <v>OK</v>
      </c>
      <c r="AD34" s="6"/>
      <c r="AE34" s="115" t="str">
        <f t="shared" si="6"/>
        <v>OK</v>
      </c>
    </row>
    <row r="35" spans="1:32" ht="6" customHeight="1" thickTop="1">
      <c r="A35" s="165"/>
      <c r="B35" s="168"/>
      <c r="C35" s="8"/>
      <c r="D35" s="128"/>
      <c r="E35" s="128"/>
      <c r="F35" s="128"/>
      <c r="G35" s="128"/>
      <c r="H35" s="128"/>
      <c r="I35" s="128"/>
      <c r="J35" s="128"/>
      <c r="K35" s="128"/>
      <c r="L35" s="128"/>
      <c r="M35" s="128"/>
      <c r="N35" s="128"/>
      <c r="O35" s="128"/>
      <c r="P35" s="128"/>
      <c r="Q35" s="128"/>
      <c r="R35" s="128"/>
      <c r="S35" s="128"/>
      <c r="T35" s="128"/>
      <c r="U35" s="128"/>
      <c r="V35" s="8"/>
      <c r="W35" s="149"/>
      <c r="X35" s="149"/>
      <c r="Y35" s="142"/>
      <c r="Z35" s="142"/>
      <c r="AA35" s="6"/>
      <c r="AB35" s="6"/>
      <c r="AC35" s="6"/>
      <c r="AD35" s="6"/>
      <c r="AE35" s="6"/>
      <c r="AF35" s="6"/>
    </row>
    <row r="36" spans="1:32" ht="15" customHeight="1">
      <c r="A36" s="85"/>
      <c r="B36" s="21" t="str">
        <f>"Version: "&amp;D43</f>
        <v>Version: 2.01.E0</v>
      </c>
      <c r="C36" s="85"/>
      <c r="D36" s="85"/>
      <c r="E36" s="85"/>
      <c r="F36" s="85"/>
      <c r="G36" s="85"/>
      <c r="H36" s="85"/>
      <c r="I36" s="85"/>
      <c r="J36" s="85"/>
      <c r="K36" s="85"/>
      <c r="L36" s="85"/>
      <c r="M36" s="85"/>
      <c r="N36" s="85"/>
      <c r="O36" s="85"/>
      <c r="P36" s="85"/>
      <c r="Q36" s="85"/>
      <c r="R36" s="85"/>
      <c r="S36" s="85"/>
      <c r="T36" s="85"/>
      <c r="U36" s="85"/>
      <c r="V36" s="171" t="s">
        <v>157</v>
      </c>
      <c r="W36" s="15"/>
      <c r="X36" s="15"/>
      <c r="Y36" s="149"/>
      <c r="Z36" s="149"/>
      <c r="AA36" s="6"/>
      <c r="AB36" s="6"/>
      <c r="AC36" s="6"/>
      <c r="AD36" s="6"/>
      <c r="AE36" s="6"/>
      <c r="AF36" s="6"/>
    </row>
    <row r="37" spans="1:32" ht="15" customHeight="1">
      <c r="A37"/>
      <c r="B37"/>
      <c r="C37"/>
      <c r="D37"/>
      <c r="E37"/>
      <c r="F37"/>
      <c r="G37"/>
      <c r="H37"/>
      <c r="I37"/>
      <c r="J37"/>
      <c r="K37"/>
      <c r="L37"/>
      <c r="M37"/>
      <c r="N37"/>
      <c r="O37"/>
      <c r="P37"/>
      <c r="Q37"/>
      <c r="R37"/>
      <c r="S37"/>
      <c r="T37"/>
      <c r="U37"/>
      <c r="V37" s="6"/>
      <c r="W37" s="15"/>
      <c r="X37" s="15"/>
      <c r="Y37" s="15"/>
      <c r="Z37" s="15"/>
    </row>
    <row r="38" spans="1:32" ht="15" customHeight="1">
      <c r="Q38" s="57"/>
      <c r="S38" s="57"/>
      <c r="V38" s="6"/>
    </row>
    <row r="39" spans="1:32" ht="15" customHeight="1">
      <c r="Q39" s="57"/>
      <c r="S39" s="57"/>
    </row>
    <row r="40" spans="1:32" ht="15" customHeight="1">
      <c r="B40" s="3"/>
      <c r="C40" s="31" t="s">
        <v>94</v>
      </c>
      <c r="D40" s="16" t="str">
        <f>U2</f>
        <v>XXXXXX</v>
      </c>
    </row>
    <row r="41" spans="1:32" ht="15" customHeight="1">
      <c r="B41" s="5"/>
      <c r="D41" s="17" t="str">
        <f>U1</f>
        <v>CSIB_CRSABIS_04</v>
      </c>
    </row>
    <row r="42" spans="1:32" ht="15" customHeight="1">
      <c r="B42" s="5"/>
      <c r="D42" s="18" t="str">
        <f>U3</f>
        <v>DD.MM.YYYY</v>
      </c>
    </row>
    <row r="43" spans="1:32" ht="15" customHeight="1">
      <c r="B43" s="19"/>
      <c r="D43" s="20" t="s">
        <v>551</v>
      </c>
    </row>
    <row r="44" spans="1:32" ht="15" customHeight="1">
      <c r="B44" s="5"/>
      <c r="D44" s="17" t="str">
        <f>D13</f>
        <v>col. 01</v>
      </c>
    </row>
    <row r="45" spans="1:32" ht="15" customHeight="1">
      <c r="B45" s="10"/>
      <c r="C45" s="8"/>
      <c r="D45" s="59">
        <f>COUNTIF(D49:U54,"ERROR")+COUNTIF(X14:AE35,"ERROR")</f>
        <v>0</v>
      </c>
    </row>
    <row r="46" spans="1:32" ht="16.5" customHeight="1">
      <c r="B46" s="6"/>
      <c r="C46" s="7"/>
      <c r="D46" s="58"/>
    </row>
    <row r="47" spans="1:32">
      <c r="B47" s="6"/>
      <c r="C47" s="7"/>
      <c r="D47" s="56"/>
    </row>
    <row r="48" spans="1:32">
      <c r="D48" s="166" t="s">
        <v>95</v>
      </c>
      <c r="E48" s="166" t="s">
        <v>96</v>
      </c>
      <c r="F48" s="166" t="s">
        <v>97</v>
      </c>
      <c r="G48" s="166" t="s">
        <v>98</v>
      </c>
      <c r="H48" s="166" t="s">
        <v>99</v>
      </c>
      <c r="I48" s="166" t="s">
        <v>100</v>
      </c>
      <c r="J48" s="166" t="s">
        <v>101</v>
      </c>
      <c r="K48" s="166" t="s">
        <v>102</v>
      </c>
      <c r="L48" s="166" t="s">
        <v>103</v>
      </c>
      <c r="M48" s="166" t="s">
        <v>104</v>
      </c>
      <c r="N48" s="166" t="s">
        <v>105</v>
      </c>
      <c r="O48" s="166" t="s">
        <v>106</v>
      </c>
      <c r="P48" s="166" t="s">
        <v>107</v>
      </c>
      <c r="Q48" s="166" t="s">
        <v>108</v>
      </c>
      <c r="R48" s="166" t="s">
        <v>109</v>
      </c>
      <c r="S48" s="166" t="s">
        <v>110</v>
      </c>
      <c r="T48" s="166" t="s">
        <v>111</v>
      </c>
      <c r="U48" s="166" t="s">
        <v>112</v>
      </c>
      <c r="V48" s="85"/>
      <c r="W48" s="85"/>
    </row>
    <row r="49" spans="2:23">
      <c r="B49" s="53" t="s">
        <v>547</v>
      </c>
      <c r="C49" s="54"/>
      <c r="D49" s="115" t="str">
        <f>IF(ROUND(D17+D16,0)=ROUND(D14,0),"OK","ERROR")</f>
        <v>OK</v>
      </c>
      <c r="E49" s="115" t="str">
        <f>IF(ROUND(E17+E16,0)=ROUND(E14,0),"OK","ERROR")</f>
        <v>OK</v>
      </c>
      <c r="F49" s="115" t="str">
        <f>IF(ROUND(F17+F16,0)=ROUND(F14,0),"OK","ERROR")</f>
        <v>OK</v>
      </c>
      <c r="G49" s="115" t="str">
        <f>IF(ROUND(G17,0)=ROUND(G14,0),"OK","ERROR")</f>
        <v>OK</v>
      </c>
      <c r="H49" s="115" t="str">
        <f>IF(ROUND(H17,0)=ROUND(H14,0),"OK","ERROR")</f>
        <v>OK</v>
      </c>
      <c r="I49" s="115" t="str">
        <f>IF(ROUND(I17,0)=ROUND(I14,0),"OK","ERROR")</f>
        <v>OK</v>
      </c>
      <c r="J49" s="115" t="str">
        <f>IF(ROUND(J17,0)=ROUND(J14,0),"OK","ERROR")</f>
        <v>OK</v>
      </c>
      <c r="K49" s="115" t="str">
        <f>IF(AND(ROUND(K16+K17,0)=ROUND(K14,0),ROUND(K14,0)=ROUND(K19+K20+K21+K23+K24+K26+K28+K32+K34,0)),"OK","ERROR")</f>
        <v>OK</v>
      </c>
      <c r="L49" s="85"/>
      <c r="M49" s="85"/>
      <c r="N49" s="85"/>
      <c r="O49" s="85"/>
      <c r="P49" s="85"/>
      <c r="Q49" s="115" t="str">
        <f>IF(AND(ROUND(Q17+Q16,0)=ROUND(Q14,0),ROUND(K14+O14+P14,0)=ROUND(Q14,0)),"OK","ERROR")</f>
        <v>OK</v>
      </c>
      <c r="R49" s="85"/>
      <c r="S49" s="115" t="str">
        <f>IF(AND(ROUND(S17+S16,0)=ROUND(S14,0),ROUND(Q14+R14,0)=ROUND(S14,0)),"OK","ERROR")</f>
        <v>OK</v>
      </c>
      <c r="T49" s="115" t="str">
        <f>IF(ROUND(T17+T16,0)=ROUND(T14,0),"OK","ERROR")</f>
        <v>OK</v>
      </c>
      <c r="U49" s="115" t="str">
        <f>IF(ROUND(U17+U16,0)=ROUND(U14,0),"OK","ERROR")</f>
        <v>OK</v>
      </c>
      <c r="V49" s="85"/>
      <c r="W49" s="85"/>
    </row>
    <row r="50" spans="2:23">
      <c r="B50" s="53" t="s">
        <v>548</v>
      </c>
      <c r="C50" s="55"/>
      <c r="D50" s="115" t="str">
        <f>IF(ROUND(D22,0)&lt;=ROUND(D21,0),"OK","ERROR")</f>
        <v>OK</v>
      </c>
      <c r="E50" s="115" t="str">
        <f>IF(ROUND(E22,0)&gt;=ROUND(E21,0),"OK","ERROR")</f>
        <v>OK</v>
      </c>
      <c r="F50" s="115" t="str">
        <f t="shared" ref="F50:K50" si="8">IF(ROUND(F22,0)&lt;=ROUND(F21,0),"OK","ERROR")</f>
        <v>OK</v>
      </c>
      <c r="G50" s="115" t="str">
        <f t="shared" si="8"/>
        <v>OK</v>
      </c>
      <c r="H50" s="115" t="str">
        <f t="shared" si="8"/>
        <v>OK</v>
      </c>
      <c r="I50" s="115" t="str">
        <f t="shared" si="8"/>
        <v>OK</v>
      </c>
      <c r="J50" s="115" t="str">
        <f t="shared" si="8"/>
        <v>OK</v>
      </c>
      <c r="K50" s="115" t="str">
        <f t="shared" si="8"/>
        <v>OK</v>
      </c>
      <c r="L50" s="85"/>
      <c r="M50" s="85"/>
      <c r="N50" s="85"/>
      <c r="O50" s="85"/>
      <c r="P50" s="85"/>
      <c r="Q50" s="115" t="str">
        <f>IF(ROUND(Q22,0)&lt;=ROUND(Q21,0),"OK","ERROR")</f>
        <v>OK</v>
      </c>
      <c r="R50" s="85"/>
      <c r="S50" s="115" t="str">
        <f>IF(ROUND(S22,0)&lt;=ROUND(S21,0),"OK","ERROR")</f>
        <v>OK</v>
      </c>
      <c r="T50" s="115" t="str">
        <f>IF(ROUND(T22,0)&lt;=ROUND(T21,0),"OK","ERROR")</f>
        <v>OK</v>
      </c>
      <c r="U50" s="115" t="str">
        <f>IF(ROUND(U22,0)&lt;=ROUND(U21,0),"OK","ERROR")</f>
        <v>OK</v>
      </c>
      <c r="V50" s="85"/>
      <c r="W50" s="85"/>
    </row>
    <row r="51" spans="2:23">
      <c r="B51" s="288" t="s">
        <v>549</v>
      </c>
      <c r="C51" s="55"/>
      <c r="D51" s="115" t="str">
        <f>IF(ROUND(D25,0)&lt;=ROUND(D24,0),"OK","ERROR")</f>
        <v>OK</v>
      </c>
      <c r="E51" s="115" t="str">
        <f>IF(ROUND(E25,0)&gt;=ROUND(E24,0),"OK","ERROR")</f>
        <v>OK</v>
      </c>
      <c r="F51" s="115" t="str">
        <f t="shared" ref="F51:K51" si="9">IF(ROUND(F25,0)&lt;=ROUND(F24,0),"OK","ERROR")</f>
        <v>OK</v>
      </c>
      <c r="G51" s="115" t="str">
        <f t="shared" si="9"/>
        <v>OK</v>
      </c>
      <c r="H51" s="115" t="str">
        <f t="shared" si="9"/>
        <v>OK</v>
      </c>
      <c r="I51" s="115" t="str">
        <f t="shared" si="9"/>
        <v>OK</v>
      </c>
      <c r="J51" s="115" t="str">
        <f t="shared" si="9"/>
        <v>OK</v>
      </c>
      <c r="K51" s="115" t="str">
        <f t="shared" si="9"/>
        <v>OK</v>
      </c>
      <c r="L51" s="278"/>
      <c r="M51" s="278"/>
      <c r="N51" s="278"/>
      <c r="O51" s="278"/>
      <c r="P51" s="278"/>
      <c r="Q51" s="115" t="str">
        <f>IF(ROUND(Q25,0)&lt;=ROUND(Q24,0),"OK","ERROR")</f>
        <v>OK</v>
      </c>
      <c r="R51" s="278"/>
      <c r="S51" s="115" t="str">
        <f>IF(ROUND(S25,0)&lt;=ROUND(S24,0),"OK","ERROR")</f>
        <v>OK</v>
      </c>
      <c r="T51" s="115" t="str">
        <f>IF(ROUND(T25,0)&lt;=ROUND(T24,0),"OK","ERROR")</f>
        <v>OK</v>
      </c>
      <c r="U51" s="115" t="str">
        <f>IF(ROUND(U25,0)&lt;=ROUND(U24,0),"OK","ERROR")</f>
        <v>OK</v>
      </c>
      <c r="V51" s="85"/>
      <c r="W51" s="85"/>
    </row>
    <row r="52" spans="2:23">
      <c r="B52" s="288" t="s">
        <v>553</v>
      </c>
      <c r="C52" s="55"/>
      <c r="D52" s="115" t="str">
        <f>IF(ROUND(D27,0)&lt;=ROUND(D26,0),"OK","ERROR")</f>
        <v>OK</v>
      </c>
      <c r="E52" s="115" t="str">
        <f>IF(ROUND(E27,0)&gt;=ROUND(E26,0),"OK","ERROR")</f>
        <v>OK</v>
      </c>
      <c r="F52" s="115" t="str">
        <f t="shared" ref="F52:K52" si="10">IF(ROUND(F27,0)&lt;=ROUND(F26,0),"OK","ERROR")</f>
        <v>OK</v>
      </c>
      <c r="G52" s="115" t="str">
        <f t="shared" si="10"/>
        <v>OK</v>
      </c>
      <c r="H52" s="115" t="str">
        <f t="shared" si="10"/>
        <v>OK</v>
      </c>
      <c r="I52" s="115" t="str">
        <f t="shared" si="10"/>
        <v>OK</v>
      </c>
      <c r="J52" s="115" t="str">
        <f t="shared" si="10"/>
        <v>OK</v>
      </c>
      <c r="K52" s="115" t="str">
        <f t="shared" si="10"/>
        <v>OK</v>
      </c>
      <c r="L52" s="278"/>
      <c r="M52" s="278"/>
      <c r="N52" s="278"/>
      <c r="O52" s="278"/>
      <c r="P52" s="278"/>
      <c r="Q52" s="115" t="str">
        <f>IF(ROUND(Q27,0)&lt;=ROUND(Q26,0),"OK","ERROR")</f>
        <v>OK</v>
      </c>
      <c r="R52" s="278"/>
      <c r="S52" s="115" t="str">
        <f>IF(ROUND(S27,0)&lt;=ROUND(S26,0),"OK","ERROR")</f>
        <v>OK</v>
      </c>
      <c r="T52" s="115" t="str">
        <f>IF(ROUND(T27,0)&lt;=ROUND(T26,0),"OK","ERROR")</f>
        <v>OK</v>
      </c>
      <c r="U52" s="115" t="str">
        <f>IF(ROUND(U27,0)&lt;=ROUND(U26,0),"OK","ERROR")</f>
        <v>OK</v>
      </c>
      <c r="V52" s="278"/>
      <c r="W52" s="278"/>
    </row>
    <row r="53" spans="2:23">
      <c r="B53" s="290"/>
      <c r="C53" s="278"/>
      <c r="D53" s="278"/>
      <c r="E53" s="278"/>
      <c r="F53" s="278"/>
      <c r="G53" s="278"/>
      <c r="H53" s="278"/>
      <c r="I53" s="278"/>
      <c r="J53" s="278"/>
      <c r="K53" s="278"/>
      <c r="L53" s="278"/>
      <c r="M53" s="278"/>
      <c r="N53" s="278"/>
      <c r="O53" s="278"/>
      <c r="P53" s="278"/>
      <c r="Q53" s="278"/>
      <c r="R53" s="278"/>
      <c r="S53" s="278"/>
      <c r="T53" s="278"/>
      <c r="U53" s="278"/>
      <c r="V53" s="85"/>
      <c r="W53" s="85"/>
    </row>
    <row r="54" spans="2:23">
      <c r="B54" s="53" t="s">
        <v>550</v>
      </c>
      <c r="C54" s="55"/>
      <c r="D54" s="115" t="str">
        <f>IF(ROUND(D33,0)&lt;=ROUND(D32,0),"OK","ERROR")</f>
        <v>OK</v>
      </c>
      <c r="E54" s="115" t="str">
        <f>IF(ROUND(E33,0)&gt;=ROUND(E32,0),"OK","ERROR")</f>
        <v>OK</v>
      </c>
      <c r="F54" s="115" t="str">
        <f t="shared" ref="F54:K54" si="11">IF(ROUND(F33,0)&lt;=ROUND(F32,0),"OK","ERROR")</f>
        <v>OK</v>
      </c>
      <c r="G54" s="115" t="str">
        <f t="shared" si="11"/>
        <v>OK</v>
      </c>
      <c r="H54" s="115" t="str">
        <f t="shared" si="11"/>
        <v>OK</v>
      </c>
      <c r="I54" s="115" t="str">
        <f t="shared" si="11"/>
        <v>OK</v>
      </c>
      <c r="J54" s="115" t="str">
        <f t="shared" si="11"/>
        <v>OK</v>
      </c>
      <c r="K54" s="115" t="str">
        <f t="shared" si="11"/>
        <v>OK</v>
      </c>
      <c r="L54" s="85"/>
      <c r="M54" s="85"/>
      <c r="N54" s="85"/>
      <c r="O54" s="85"/>
      <c r="P54" s="85"/>
      <c r="Q54" s="115" t="str">
        <f>IF(ROUND(Q33,0)&lt;=ROUND(Q32,0),"OK","ERROR")</f>
        <v>OK</v>
      </c>
      <c r="R54" s="85"/>
      <c r="S54" s="115" t="str">
        <f>IF(ROUND(S33,0)&lt;=ROUND(S32,0),"OK","ERROR")</f>
        <v>OK</v>
      </c>
      <c r="T54" s="115" t="str">
        <f>IF(ROUND(T33,0)&lt;=ROUND(T32,0),"OK","ERROR")</f>
        <v>OK</v>
      </c>
      <c r="U54" s="115" t="str">
        <f>IF(ROUND(U33,0)&lt;=ROUND(U32,0),"OK","ERROR")</f>
        <v>OK</v>
      </c>
      <c r="V54" s="85"/>
      <c r="W54" s="85"/>
    </row>
    <row r="55" spans="2:23">
      <c r="V55" s="85"/>
      <c r="W55" s="85"/>
    </row>
  </sheetData>
  <sheetProtection sheet="1" objects="1" scenarios="1"/>
  <customSheetViews>
    <customSheetView guid="{4435029F-2F1B-45E2-BFDE-13E66716A0E9}" scale="80" showGridLines="0" showRowCol="0" zeroValues="0">
      <pane xSplit="3" ySplit="13" topLeftCell="D14" activePane="bottomRight" state="frozen"/>
      <selection pane="bottomRight" activeCell="L14" sqref="L14"/>
      <colBreaks count="1" manualBreakCount="1">
        <brk id="11" max="34" man="1"/>
      </colBreaks>
      <pageMargins left="0.39370078740157483" right="0.39370078740157483" top="0.39370078740157483" bottom="0.39370078740157483" header="0.19685039370078741" footer="0"/>
      <pageSetup paperSize="9" scale="54" orientation="landscape" r:id="rId1"/>
      <headerFooter alignWithMargins="0">
        <oddFooter>&amp;L&amp;"Arial,Fett"SNB Confidential&amp;C&amp;D&amp;RPage &amp;P</oddFooter>
      </headerFooter>
    </customSheetView>
  </customSheetViews>
  <mergeCells count="2">
    <mergeCell ref="M2:Q2"/>
    <mergeCell ref="E2:I2"/>
  </mergeCells>
  <phoneticPr fontId="10" type="noConversion"/>
  <conditionalFormatting sqref="D25">
    <cfRule type="cellIs" dxfId="3" priority="3" stopIfTrue="1" operator="equal">
      <formula>$D$49="ERROR"</formula>
    </cfRule>
  </conditionalFormatting>
  <pageMargins left="0.39370078740157483" right="0.39370078740157483" top="0.39370078740157483" bottom="0.39370078740157483" header="0.19685039370078741" footer="0"/>
  <pageSetup paperSize="9" scale="54" orientation="landscape" r:id="rId2"/>
  <headerFooter alignWithMargins="0">
    <oddFooter>&amp;L&amp;"Arial,Fett"SNB Confidential&amp;C&amp;D&amp;RPage &amp;P</oddFooter>
  </headerFooter>
  <colBreaks count="1" manualBreakCount="1">
    <brk id="11" max="34"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F55"/>
  <sheetViews>
    <sheetView showGridLines="0" showRowColHeaders="0" showZeros="0" zoomScale="80" zoomScaleNormal="80" zoomScaleSheetLayoutView="80" workbookViewId="0">
      <pane xSplit="3" ySplit="13" topLeftCell="D14" activePane="bottomRight" state="frozen"/>
      <selection activeCell="T2" sqref="T2"/>
      <selection pane="topRight" activeCell="T2" sqref="T2"/>
      <selection pane="bottomLeft" activeCell="T2" sqref="T2"/>
      <selection pane="bottomRight" activeCell="L14" sqref="L14"/>
    </sheetView>
  </sheetViews>
  <sheetFormatPr baseColWidth="10" defaultColWidth="11.42578125" defaultRowHeight="12.75"/>
  <cols>
    <col min="1" max="1" width="8.42578125" style="4" customWidth="1"/>
    <col min="2" max="2" width="39.28515625" style="4" customWidth="1"/>
    <col min="3" max="3" width="4.7109375" style="4" customWidth="1"/>
    <col min="4" max="6" width="20.28515625" style="4" customWidth="1"/>
    <col min="7" max="7" width="15.7109375" style="4" customWidth="1"/>
    <col min="8" max="8" width="16.28515625" style="4" customWidth="1"/>
    <col min="9" max="9" width="15.7109375" style="4" customWidth="1"/>
    <col min="10" max="10" width="17.5703125" style="4" customWidth="1"/>
    <col min="11" max="11" width="24.85546875" style="4" customWidth="1"/>
    <col min="12" max="16" width="17.7109375" style="4" customWidth="1"/>
    <col min="17" max="20" width="20.28515625" style="4" customWidth="1"/>
    <col min="21" max="21" width="24.85546875" style="4" customWidth="1"/>
    <col min="22" max="22" width="4.7109375" style="4" customWidth="1"/>
    <col min="23" max="25" width="11.42578125" style="4" customWidth="1"/>
    <col min="26" max="26" width="21.5703125" style="4" customWidth="1"/>
    <col min="27" max="30" width="11.42578125" style="4" customWidth="1"/>
    <col min="31" max="31" width="21.5703125" style="4" customWidth="1"/>
    <col min="32" max="16384" width="11.42578125" style="4"/>
  </cols>
  <sheetData>
    <row r="1" spans="1:31" ht="20.25" customHeight="1">
      <c r="A1" s="6"/>
      <c r="B1" s="6"/>
      <c r="C1" s="6"/>
      <c r="E1" s="12" t="s">
        <v>46</v>
      </c>
      <c r="G1" s="11"/>
      <c r="H1" s="11"/>
      <c r="I1" s="11"/>
      <c r="J1" s="126" t="s">
        <v>61</v>
      </c>
      <c r="K1" s="305" t="s">
        <v>607</v>
      </c>
      <c r="L1" s="11"/>
      <c r="M1" s="12" t="s">
        <v>46</v>
      </c>
      <c r="N1" s="11"/>
      <c r="O1" s="11"/>
      <c r="P1" s="11"/>
      <c r="Q1" s="11"/>
      <c r="R1" s="11"/>
      <c r="S1" s="11"/>
      <c r="T1" s="126" t="s">
        <v>61</v>
      </c>
      <c r="U1" s="305" t="str">
        <f>K1</f>
        <v>CSIB_CRSABIS_05</v>
      </c>
      <c r="V1" s="11"/>
    </row>
    <row r="2" spans="1:31" ht="20.25" customHeight="1">
      <c r="A2" s="6"/>
      <c r="B2" s="11"/>
      <c r="C2" s="6"/>
      <c r="E2" s="669" t="s">
        <v>620</v>
      </c>
      <c r="F2" s="669"/>
      <c r="G2" s="669"/>
      <c r="H2" s="669"/>
      <c r="I2" s="669"/>
      <c r="J2" s="126" t="s">
        <v>1224</v>
      </c>
      <c r="K2" s="300" t="str">
        <f>'Delivery note'!H3</f>
        <v>XXXXXX</v>
      </c>
      <c r="L2" s="11"/>
      <c r="M2" s="669" t="s">
        <v>620</v>
      </c>
      <c r="N2" s="669"/>
      <c r="O2" s="669"/>
      <c r="P2" s="669"/>
      <c r="Q2" s="669"/>
      <c r="R2" s="11"/>
      <c r="S2" s="11"/>
      <c r="T2" s="126" t="s">
        <v>1224</v>
      </c>
      <c r="U2" s="300" t="str">
        <f>K2</f>
        <v>XXXXXX</v>
      </c>
      <c r="V2" s="11"/>
    </row>
    <row r="3" spans="1:31" ht="20.25" customHeight="1">
      <c r="A3" s="6"/>
      <c r="B3" s="11"/>
      <c r="C3" s="6"/>
      <c r="E3" s="144" t="s">
        <v>601</v>
      </c>
      <c r="G3" s="11"/>
      <c r="I3" s="85"/>
      <c r="J3" s="126" t="s">
        <v>546</v>
      </c>
      <c r="K3" s="306" t="str">
        <f>'Delivery note'!H4</f>
        <v>DD.MM.YYYY</v>
      </c>
      <c r="L3" s="11"/>
      <c r="M3" s="144" t="s">
        <v>601</v>
      </c>
      <c r="N3" s="6"/>
      <c r="O3" s="11"/>
      <c r="P3" s="11"/>
      <c r="Q3" s="11"/>
      <c r="R3" s="11"/>
      <c r="S3" s="11"/>
      <c r="T3" s="126" t="s">
        <v>546</v>
      </c>
      <c r="U3" s="306" t="str">
        <f>K3</f>
        <v>DD.MM.YYYY</v>
      </c>
      <c r="V3" s="11"/>
    </row>
    <row r="4" spans="1:31" ht="20.100000000000001" customHeight="1">
      <c r="A4" s="6"/>
      <c r="B4" s="11"/>
      <c r="C4" s="6"/>
      <c r="E4" s="145" t="s">
        <v>54</v>
      </c>
      <c r="H4" s="11"/>
      <c r="I4" s="85"/>
      <c r="J4" s="48"/>
      <c r="K4" s="116"/>
      <c r="L4" s="11"/>
      <c r="M4" s="145" t="s">
        <v>54</v>
      </c>
      <c r="N4" s="11"/>
      <c r="O4" s="11"/>
      <c r="P4" s="11"/>
      <c r="Q4" s="11"/>
      <c r="R4" s="11"/>
      <c r="S4" s="11"/>
      <c r="T4" s="11"/>
      <c r="U4" s="11"/>
      <c r="V4" s="11"/>
    </row>
    <row r="5" spans="1:31" ht="20.100000000000001" customHeight="1">
      <c r="A5" s="6"/>
      <c r="B5" s="11"/>
      <c r="C5" s="6"/>
      <c r="E5" s="146" t="s">
        <v>136</v>
      </c>
      <c r="F5" s="11"/>
      <c r="G5" s="11"/>
      <c r="H5" s="11"/>
      <c r="I5" s="11"/>
      <c r="J5" s="11"/>
      <c r="K5" s="11"/>
      <c r="L5" s="11"/>
      <c r="M5" s="146" t="s">
        <v>136</v>
      </c>
      <c r="N5" s="11"/>
      <c r="O5" s="11"/>
      <c r="P5" s="11"/>
      <c r="Q5" s="11"/>
      <c r="R5" s="11"/>
      <c r="S5" s="11"/>
      <c r="T5" s="11"/>
      <c r="U5" s="11"/>
      <c r="V5" s="11"/>
    </row>
    <row r="6" spans="1:31" ht="20.100000000000001" customHeight="1">
      <c r="A6" s="6"/>
      <c r="B6" s="11"/>
      <c r="C6" s="6"/>
      <c r="D6" s="6"/>
      <c r="E6" s="4" t="s">
        <v>6</v>
      </c>
      <c r="M6" s="4" t="s">
        <v>6</v>
      </c>
    </row>
    <row r="7" spans="1:31" ht="20.100000000000001" customHeight="1">
      <c r="A7" s="8"/>
      <c r="B7" s="11"/>
      <c r="C7" s="8"/>
      <c r="D7" s="8"/>
      <c r="F7" s="11"/>
      <c r="G7" s="11"/>
      <c r="H7" s="11"/>
      <c r="I7" s="11"/>
      <c r="J7" s="49"/>
      <c r="K7" s="49"/>
      <c r="L7" s="11"/>
      <c r="N7" s="49"/>
      <c r="O7" s="11"/>
      <c r="P7" s="11"/>
      <c r="Q7" s="11"/>
      <c r="R7" s="11"/>
      <c r="S7" s="11"/>
      <c r="T7" s="11"/>
      <c r="U7" s="11"/>
      <c r="V7" s="49"/>
    </row>
    <row r="8" spans="1:31" ht="14.25" customHeight="1">
      <c r="A8" s="161"/>
      <c r="B8" s="41"/>
      <c r="C8" s="151"/>
      <c r="D8" s="28" t="s">
        <v>8</v>
      </c>
      <c r="E8" s="28" t="s">
        <v>15</v>
      </c>
      <c r="F8" s="47" t="s">
        <v>19</v>
      </c>
      <c r="G8" s="34" t="s">
        <v>55</v>
      </c>
      <c r="H8" s="42"/>
      <c r="I8" s="42"/>
      <c r="J8" s="62"/>
      <c r="K8" s="35" t="s">
        <v>19</v>
      </c>
      <c r="L8" s="42" t="s">
        <v>26</v>
      </c>
      <c r="M8" s="38"/>
      <c r="N8" s="38"/>
      <c r="O8" s="38"/>
      <c r="P8" s="35"/>
      <c r="Q8" s="30" t="s">
        <v>33</v>
      </c>
      <c r="R8" s="30" t="s">
        <v>37</v>
      </c>
      <c r="S8" s="30" t="s">
        <v>42</v>
      </c>
      <c r="T8" s="46" t="s">
        <v>44</v>
      </c>
      <c r="U8" s="30" t="s">
        <v>13</v>
      </c>
      <c r="V8" s="151"/>
      <c r="W8" s="22"/>
      <c r="X8" s="22"/>
      <c r="Y8" s="6"/>
      <c r="Z8" s="6"/>
    </row>
    <row r="9" spans="1:31" ht="14.25" customHeight="1">
      <c r="A9" s="162"/>
      <c r="B9" s="12"/>
      <c r="C9" s="152"/>
      <c r="D9" s="29" t="s">
        <v>9</v>
      </c>
      <c r="E9" s="29" t="s">
        <v>16</v>
      </c>
      <c r="F9" s="44" t="s">
        <v>20</v>
      </c>
      <c r="G9" s="63" t="s">
        <v>56</v>
      </c>
      <c r="H9" s="64"/>
      <c r="I9" s="64"/>
      <c r="J9" s="43"/>
      <c r="K9" s="43" t="s">
        <v>20</v>
      </c>
      <c r="L9" s="33"/>
      <c r="M9" s="33"/>
      <c r="N9" s="33"/>
      <c r="O9" s="40"/>
      <c r="P9" s="37"/>
      <c r="Q9" s="32" t="s">
        <v>34</v>
      </c>
      <c r="R9" s="32" t="s">
        <v>38</v>
      </c>
      <c r="S9" s="32" t="s">
        <v>43</v>
      </c>
      <c r="T9" s="29" t="s">
        <v>45</v>
      </c>
      <c r="U9" s="29" t="s">
        <v>14</v>
      </c>
      <c r="V9" s="152"/>
      <c r="W9" s="22"/>
      <c r="X9" s="22"/>
      <c r="Y9" s="6"/>
      <c r="Z9" s="6"/>
    </row>
    <row r="10" spans="1:31" ht="14.25" customHeight="1">
      <c r="A10" s="162"/>
      <c r="B10" s="12"/>
      <c r="C10" s="152"/>
      <c r="D10" s="29" t="s">
        <v>7</v>
      </c>
      <c r="E10" s="29" t="s">
        <v>17</v>
      </c>
      <c r="F10" s="44" t="s">
        <v>21</v>
      </c>
      <c r="G10" s="63"/>
      <c r="H10" s="65"/>
      <c r="I10" s="65"/>
      <c r="J10" s="66"/>
      <c r="K10" s="43" t="s">
        <v>24</v>
      </c>
      <c r="L10" s="42" t="s">
        <v>27</v>
      </c>
      <c r="M10" s="35"/>
      <c r="N10" s="43" t="s">
        <v>30</v>
      </c>
      <c r="O10" s="34" t="s">
        <v>11</v>
      </c>
      <c r="P10" s="35"/>
      <c r="Q10" s="32" t="s">
        <v>35</v>
      </c>
      <c r="R10" s="32" t="s">
        <v>39</v>
      </c>
      <c r="S10" s="32" t="s">
        <v>119</v>
      </c>
      <c r="T10" s="32"/>
      <c r="U10" s="32" t="s">
        <v>58</v>
      </c>
      <c r="V10" s="152"/>
      <c r="W10" s="22"/>
      <c r="X10" s="22"/>
      <c r="Y10" s="6"/>
      <c r="Z10" s="6"/>
    </row>
    <row r="11" spans="1:31" ht="14.25" customHeight="1">
      <c r="A11" s="162"/>
      <c r="B11" s="12"/>
      <c r="C11" s="152"/>
      <c r="D11" s="29"/>
      <c r="E11" s="29" t="s">
        <v>18</v>
      </c>
      <c r="F11" s="44" t="s">
        <v>22</v>
      </c>
      <c r="G11" s="36"/>
      <c r="H11" s="40"/>
      <c r="I11" s="45"/>
      <c r="J11" s="37"/>
      <c r="K11" s="43" t="s">
        <v>25</v>
      </c>
      <c r="L11" s="45" t="s">
        <v>28</v>
      </c>
      <c r="M11" s="37"/>
      <c r="N11" s="37" t="s">
        <v>12</v>
      </c>
      <c r="O11" s="39" t="s">
        <v>10</v>
      </c>
      <c r="P11" s="37"/>
      <c r="Q11" s="32" t="s">
        <v>36</v>
      </c>
      <c r="R11" s="32" t="s">
        <v>40</v>
      </c>
      <c r="T11" s="32"/>
      <c r="U11" s="32" t="s">
        <v>162</v>
      </c>
      <c r="V11" s="152"/>
      <c r="W11" s="22"/>
      <c r="X11" s="22"/>
      <c r="Y11" s="6"/>
      <c r="Z11" s="6"/>
    </row>
    <row r="12" spans="1:31" ht="68.25" customHeight="1">
      <c r="A12" s="6"/>
      <c r="B12" s="6"/>
      <c r="C12" s="152"/>
      <c r="D12" s="32"/>
      <c r="E12" s="32" t="s">
        <v>160</v>
      </c>
      <c r="F12" s="44" t="s">
        <v>23</v>
      </c>
      <c r="G12" s="174" t="s">
        <v>5</v>
      </c>
      <c r="H12" s="175">
        <v>0.2</v>
      </c>
      <c r="I12" s="176">
        <v>0.5</v>
      </c>
      <c r="J12" s="175">
        <v>1</v>
      </c>
      <c r="K12" s="43" t="s">
        <v>60</v>
      </c>
      <c r="L12" s="177" t="s">
        <v>1</v>
      </c>
      <c r="M12" s="178" t="s">
        <v>29</v>
      </c>
      <c r="N12" s="178" t="s">
        <v>31</v>
      </c>
      <c r="O12" s="32" t="s">
        <v>161</v>
      </c>
      <c r="P12" s="32" t="s">
        <v>32</v>
      </c>
      <c r="Q12" s="32" t="s">
        <v>57</v>
      </c>
      <c r="R12" s="32" t="s">
        <v>41</v>
      </c>
      <c r="S12" s="32"/>
      <c r="T12" s="32"/>
      <c r="U12" s="32"/>
      <c r="V12" s="152"/>
      <c r="W12" s="9"/>
      <c r="X12" s="9"/>
      <c r="Y12" s="9"/>
      <c r="Z12" s="9"/>
    </row>
    <row r="13" spans="1:31" ht="20.100000000000001" customHeight="1">
      <c r="A13" s="11"/>
      <c r="B13" s="49"/>
      <c r="C13" s="153"/>
      <c r="D13" s="179" t="s">
        <v>95</v>
      </c>
      <c r="E13" s="179" t="s">
        <v>96</v>
      </c>
      <c r="F13" s="179" t="s">
        <v>97</v>
      </c>
      <c r="G13" s="179" t="s">
        <v>98</v>
      </c>
      <c r="H13" s="179" t="s">
        <v>99</v>
      </c>
      <c r="I13" s="179" t="s">
        <v>100</v>
      </c>
      <c r="J13" s="179" t="s">
        <v>101</v>
      </c>
      <c r="K13" s="179" t="s">
        <v>102</v>
      </c>
      <c r="L13" s="179" t="s">
        <v>103</v>
      </c>
      <c r="M13" s="179" t="s">
        <v>104</v>
      </c>
      <c r="N13" s="179" t="s">
        <v>105</v>
      </c>
      <c r="O13" s="179" t="s">
        <v>106</v>
      </c>
      <c r="P13" s="179" t="s">
        <v>107</v>
      </c>
      <c r="Q13" s="179" t="s">
        <v>108</v>
      </c>
      <c r="R13" s="179" t="s">
        <v>109</v>
      </c>
      <c r="S13" s="179" t="s">
        <v>110</v>
      </c>
      <c r="T13" s="179" t="s">
        <v>111</v>
      </c>
      <c r="U13" s="179" t="s">
        <v>112</v>
      </c>
      <c r="V13" s="153"/>
      <c r="X13" s="6" t="s">
        <v>131</v>
      </c>
      <c r="Y13" s="6" t="s">
        <v>132</v>
      </c>
      <c r="Z13" s="6" t="s">
        <v>133</v>
      </c>
      <c r="AA13" s="6" t="s">
        <v>113</v>
      </c>
      <c r="AB13" s="6" t="s">
        <v>114</v>
      </c>
      <c r="AC13" s="6" t="s">
        <v>117</v>
      </c>
      <c r="AD13" s="6" t="s">
        <v>115</v>
      </c>
      <c r="AE13" s="6" t="s">
        <v>118</v>
      </c>
    </row>
    <row r="14" spans="1:31" ht="20.100000000000001" customHeight="1" thickBot="1">
      <c r="A14" s="185"/>
      <c r="B14" s="154" t="s">
        <v>2</v>
      </c>
      <c r="C14" s="114">
        <v>1</v>
      </c>
      <c r="D14" s="27">
        <f>SUM(D19:D21,D23:D24,D26,D28,D32,D34)</f>
        <v>0</v>
      </c>
      <c r="E14" s="279">
        <f>SUM(E19:E21,E23:E24,E26,E28,E32,E34)</f>
        <v>0</v>
      </c>
      <c r="F14" s="27">
        <f>D14+E14</f>
        <v>0</v>
      </c>
      <c r="G14" s="279">
        <f>SUM(G19:G21,G23:G24,G26,G28,G32,G34)</f>
        <v>0</v>
      </c>
      <c r="H14" s="279">
        <f>SUM(H19:H21,H23:H24,H26,H28,H32,H34)</f>
        <v>0</v>
      </c>
      <c r="I14" s="279">
        <f>SUM(I19:I21,I23:I24,I26,I28,I32,I34)</f>
        <v>0</v>
      </c>
      <c r="J14" s="279">
        <f>SUM(J19:J21,J23:J24,J26,J28,J32,J34)</f>
        <v>0</v>
      </c>
      <c r="K14" s="51">
        <f>F14-G14-0.8*H14-0.5*I14</f>
        <v>0</v>
      </c>
      <c r="L14" s="50"/>
      <c r="M14" s="14"/>
      <c r="N14" s="25"/>
      <c r="O14" s="27">
        <f>(L14+M14+N14)*-1</f>
        <v>0</v>
      </c>
      <c r="P14" s="14"/>
      <c r="Q14" s="279">
        <f>SUM(Q19:Q21,Q23:Q24,Q26,Q28,Q32,Q34)</f>
        <v>0</v>
      </c>
      <c r="R14" s="14"/>
      <c r="S14" s="279">
        <f>SUM(S19:S21,S23:S24,S26,S28,S32,S34)</f>
        <v>0</v>
      </c>
      <c r="T14" s="279">
        <f>SUM(T19:T21,T23:T24,T26,T28,T32,T34)</f>
        <v>0</v>
      </c>
      <c r="U14" s="27">
        <f>T14*0.08</f>
        <v>0</v>
      </c>
      <c r="V14" s="114">
        <v>1</v>
      </c>
      <c r="W14" s="15"/>
      <c r="X14" s="180" t="str">
        <f>IF(D14&gt;=0,"OK","ERROR")</f>
        <v>OK</v>
      </c>
      <c r="Y14" s="180" t="str">
        <f>IF(E14&lt;=0,"OK","ERROR")</f>
        <v>OK</v>
      </c>
      <c r="Z14" s="180" t="str">
        <f>IF(MIN(F14:N14)&gt;=0,"OK","ERROR")</f>
        <v>OK</v>
      </c>
      <c r="AA14" s="180" t="str">
        <f>IF(O14&lt;=0,"OK","ERROR")</f>
        <v>OK</v>
      </c>
      <c r="AB14" s="180" t="str">
        <f>IF(P14&gt;=0,"OK","ERROR")</f>
        <v>OK</v>
      </c>
      <c r="AC14" s="180" t="str">
        <f>IF(Q14&gt;=0,"OK","ERROR")</f>
        <v>OK</v>
      </c>
      <c r="AD14" s="180" t="str">
        <f>IF(R14&lt;=0,"OK","ERROR")</f>
        <v>OK</v>
      </c>
      <c r="AE14" s="180" t="str">
        <f>IF(MIN(S14:U14)&gt;=0,"OK","ERROR")</f>
        <v>OK</v>
      </c>
    </row>
    <row r="15" spans="1:31" ht="30" customHeight="1" thickTop="1">
      <c r="A15" s="163"/>
      <c r="B15" s="155" t="s">
        <v>116</v>
      </c>
      <c r="C15" s="114"/>
      <c r="D15" s="143"/>
      <c r="E15" s="143"/>
      <c r="F15" s="143"/>
      <c r="G15" s="143"/>
      <c r="H15" s="143"/>
      <c r="I15" s="143"/>
      <c r="J15" s="143"/>
      <c r="K15" s="143"/>
      <c r="L15" s="143"/>
      <c r="M15" s="143"/>
      <c r="N15" s="143"/>
      <c r="O15" s="143"/>
      <c r="P15" s="143"/>
      <c r="Q15" s="143"/>
      <c r="R15" s="143"/>
      <c r="S15" s="143"/>
      <c r="T15" s="143"/>
      <c r="U15" s="143"/>
      <c r="V15" s="114"/>
      <c r="W15" s="147"/>
      <c r="X15" s="148"/>
      <c r="Y15" s="148"/>
      <c r="Z15" s="148"/>
      <c r="AA15" s="6"/>
      <c r="AB15" s="139"/>
      <c r="AC15" s="6"/>
      <c r="AD15" s="6"/>
      <c r="AE15" s="140"/>
    </row>
    <row r="16" spans="1:31" ht="20.100000000000001" customHeight="1" thickBot="1">
      <c r="A16" s="163"/>
      <c r="B16" s="156" t="s">
        <v>3</v>
      </c>
      <c r="C16" s="114">
        <v>2</v>
      </c>
      <c r="D16" s="14"/>
      <c r="E16" s="14"/>
      <c r="F16" s="27">
        <f>D16+E16</f>
        <v>0</v>
      </c>
      <c r="G16" s="13"/>
      <c r="H16" s="13"/>
      <c r="I16" s="13"/>
      <c r="J16" s="26"/>
      <c r="K16" s="52">
        <f>F16</f>
        <v>0</v>
      </c>
      <c r="L16" s="23"/>
      <c r="M16" s="13"/>
      <c r="N16" s="13"/>
      <c r="O16" s="13"/>
      <c r="P16" s="13"/>
      <c r="Q16" s="14"/>
      <c r="R16" s="13"/>
      <c r="S16" s="14"/>
      <c r="T16" s="14"/>
      <c r="U16" s="27">
        <f>T16*0.08</f>
        <v>0</v>
      </c>
      <c r="V16" s="114">
        <v>2</v>
      </c>
      <c r="W16" s="15"/>
      <c r="X16" s="115" t="str">
        <f>IF(D16&gt;=0,"OK","ERROR")</f>
        <v>OK</v>
      </c>
      <c r="Y16" s="115" t="str">
        <f>IF(E16&lt;=0,"OK","ERROR")</f>
        <v>OK</v>
      </c>
      <c r="Z16" s="115" t="str">
        <f>IF(MIN(F16:N16)&gt;=0,"OK","ERROR")</f>
        <v>OK</v>
      </c>
      <c r="AA16" s="6"/>
      <c r="AB16" s="6"/>
      <c r="AC16" s="115" t="str">
        <f>IF(Q16&gt;=0,"OK","ERROR")</f>
        <v>OK</v>
      </c>
      <c r="AD16" s="6"/>
      <c r="AE16" s="115" t="str">
        <f>IF(MIN(S16:U16)&gt;=0,"OK","ERROR")</f>
        <v>OK</v>
      </c>
    </row>
    <row r="17" spans="1:32" ht="20.100000000000001" customHeight="1" thickTop="1" thickBot="1">
      <c r="A17" s="163"/>
      <c r="B17" s="156" t="s">
        <v>4</v>
      </c>
      <c r="C17" s="114">
        <v>3</v>
      </c>
      <c r="D17" s="14"/>
      <c r="E17" s="14"/>
      <c r="F17" s="27">
        <f>D17+E17</f>
        <v>0</v>
      </c>
      <c r="G17" s="14"/>
      <c r="H17" s="14"/>
      <c r="I17" s="14"/>
      <c r="J17" s="25"/>
      <c r="K17" s="52">
        <f>F17-G17-0.8*H17-0.5*I17</f>
        <v>0</v>
      </c>
      <c r="L17" s="23"/>
      <c r="M17" s="13"/>
      <c r="N17" s="13"/>
      <c r="O17" s="13"/>
      <c r="P17" s="13"/>
      <c r="Q17" s="14"/>
      <c r="R17" s="13"/>
      <c r="S17" s="14"/>
      <c r="T17" s="14"/>
      <c r="U17" s="27">
        <f>T17*0.08</f>
        <v>0</v>
      </c>
      <c r="V17" s="114">
        <v>3</v>
      </c>
      <c r="W17" s="15"/>
      <c r="X17" s="115" t="str">
        <f>IF(D17&gt;=0,"OK","ERROR")</f>
        <v>OK</v>
      </c>
      <c r="Y17" s="115" t="str">
        <f>IF(E17&lt;=0,"OK","ERROR")</f>
        <v>OK</v>
      </c>
      <c r="Z17" s="115" t="str">
        <f>IF(MIN(F17:N17)&gt;=0,"OK","ERROR")</f>
        <v>OK</v>
      </c>
      <c r="AA17" s="6"/>
      <c r="AB17" s="6"/>
      <c r="AC17" s="115" t="str">
        <f>IF(Q17&gt;=0,"OK","ERROR")</f>
        <v>OK</v>
      </c>
      <c r="AD17" s="6"/>
      <c r="AE17" s="115" t="str">
        <f>IF(MIN(S17:U17)&gt;=0,"OK","ERROR")</f>
        <v>OK</v>
      </c>
    </row>
    <row r="18" spans="1:32" ht="44.25" customHeight="1" thickTop="1">
      <c r="A18" s="163"/>
      <c r="B18" s="155" t="s">
        <v>47</v>
      </c>
      <c r="C18" s="114"/>
      <c r="D18" s="143"/>
      <c r="E18" s="143"/>
      <c r="F18" s="143"/>
      <c r="G18" s="143"/>
      <c r="H18" s="143"/>
      <c r="I18" s="143"/>
      <c r="J18" s="143"/>
      <c r="K18" s="143"/>
      <c r="L18" s="143"/>
      <c r="M18" s="143"/>
      <c r="N18" s="143"/>
      <c r="O18" s="143"/>
      <c r="P18" s="143"/>
      <c r="Q18" s="143"/>
      <c r="R18" s="143"/>
      <c r="S18" s="143"/>
      <c r="T18" s="143"/>
      <c r="U18" s="143"/>
      <c r="V18" s="114"/>
      <c r="W18" s="147"/>
      <c r="X18" s="149"/>
      <c r="Y18" s="142"/>
      <c r="Z18" s="150"/>
      <c r="AA18" s="6"/>
      <c r="AB18" s="6"/>
      <c r="AC18" s="6"/>
      <c r="AD18" s="6"/>
      <c r="AE18" s="6"/>
      <c r="AF18" s="6"/>
    </row>
    <row r="19" spans="1:32" ht="20.100000000000001" customHeight="1" thickBot="1">
      <c r="A19" s="163"/>
      <c r="B19" s="157" t="s">
        <v>5</v>
      </c>
      <c r="C19" s="114">
        <v>4</v>
      </c>
      <c r="D19" s="14"/>
      <c r="E19" s="14"/>
      <c r="F19" s="27">
        <f t="shared" ref="F19:F34" si="0">D19+E19</f>
        <v>0</v>
      </c>
      <c r="G19" s="14"/>
      <c r="H19" s="14"/>
      <c r="I19" s="14"/>
      <c r="J19" s="25"/>
      <c r="K19" s="52">
        <f t="shared" ref="K19:K34" si="1">F19-G19-0.8*H19-0.5*I19</f>
        <v>0</v>
      </c>
      <c r="L19" s="23"/>
      <c r="M19" s="13"/>
      <c r="N19" s="13"/>
      <c r="O19" s="13"/>
      <c r="P19" s="13"/>
      <c r="Q19" s="14"/>
      <c r="R19" s="13"/>
      <c r="S19" s="14"/>
      <c r="T19" s="13"/>
      <c r="U19" s="13"/>
      <c r="V19" s="114">
        <v>4</v>
      </c>
      <c r="W19" s="15"/>
      <c r="X19" s="115" t="str">
        <f t="shared" ref="X19:X34" si="2">IF(D19&gt;=0,"OK","ERROR")</f>
        <v>OK</v>
      </c>
      <c r="Y19" s="115" t="str">
        <f t="shared" ref="Y19:Y34" si="3">IF(E19&lt;=0,"OK","ERROR")</f>
        <v>OK</v>
      </c>
      <c r="Z19" s="115" t="str">
        <f t="shared" ref="Z19:Z34" si="4">IF(MIN(F19:N19)&gt;=0,"OK","ERROR")</f>
        <v>OK</v>
      </c>
      <c r="AA19" s="6"/>
      <c r="AB19" s="6"/>
      <c r="AC19" s="115" t="str">
        <f t="shared" ref="AC19:AC34" si="5">IF(Q19&gt;=0,"OK","ERROR")</f>
        <v>OK</v>
      </c>
      <c r="AD19" s="6"/>
      <c r="AE19" s="115" t="str">
        <f t="shared" ref="AE19:AE34" si="6">IF(MIN(S19:U19)&gt;=0,"OK","ERROR")</f>
        <v>OK</v>
      </c>
    </row>
    <row r="20" spans="1:32" ht="20.100000000000001" customHeight="1" thickTop="1" thickBot="1">
      <c r="A20" s="163"/>
      <c r="B20" s="158">
        <v>0.1</v>
      </c>
      <c r="C20" s="280">
        <v>19</v>
      </c>
      <c r="D20" s="14"/>
      <c r="E20" s="14"/>
      <c r="F20" s="279">
        <f t="shared" si="0"/>
        <v>0</v>
      </c>
      <c r="G20" s="14"/>
      <c r="H20" s="14"/>
      <c r="I20" s="14"/>
      <c r="J20" s="25"/>
      <c r="K20" s="52">
        <f t="shared" si="1"/>
        <v>0</v>
      </c>
      <c r="L20" s="23"/>
      <c r="M20" s="13"/>
      <c r="N20" s="13"/>
      <c r="O20" s="13"/>
      <c r="P20" s="13"/>
      <c r="Q20" s="14"/>
      <c r="R20" s="13"/>
      <c r="S20" s="14"/>
      <c r="T20" s="279">
        <f>S20*0.1</f>
        <v>0</v>
      </c>
      <c r="U20" s="279">
        <f>T20*0.08</f>
        <v>0</v>
      </c>
      <c r="V20" s="280">
        <v>19</v>
      </c>
      <c r="W20" s="15"/>
      <c r="X20" s="115" t="str">
        <f>IF(D20&gt;=0,"OK","ERROR")</f>
        <v>OK</v>
      </c>
      <c r="Y20" s="115" t="str">
        <f>IF(E20&lt;=0,"OK","ERROR")</f>
        <v>OK</v>
      </c>
      <c r="Z20" s="115" t="str">
        <f>IF(MIN(F20:N20)&gt;=0,"OK","ERROR")</f>
        <v>OK</v>
      </c>
      <c r="AA20" s="6"/>
      <c r="AB20" s="6"/>
      <c r="AC20" s="115" t="str">
        <f t="shared" si="5"/>
        <v>OK</v>
      </c>
      <c r="AD20" s="6"/>
      <c r="AE20" s="115" t="str">
        <f t="shared" si="6"/>
        <v>OK</v>
      </c>
    </row>
    <row r="21" spans="1:32" ht="20.100000000000001" customHeight="1" thickTop="1" thickBot="1">
      <c r="A21" s="163"/>
      <c r="B21" s="158" t="s">
        <v>59</v>
      </c>
      <c r="C21" s="114">
        <v>5</v>
      </c>
      <c r="D21" s="14"/>
      <c r="E21" s="14"/>
      <c r="F21" s="27">
        <f t="shared" si="0"/>
        <v>0</v>
      </c>
      <c r="G21" s="14"/>
      <c r="H21" s="14"/>
      <c r="I21" s="14"/>
      <c r="J21" s="25"/>
      <c r="K21" s="52">
        <f t="shared" si="1"/>
        <v>0</v>
      </c>
      <c r="L21" s="23"/>
      <c r="M21" s="13"/>
      <c r="N21" s="13"/>
      <c r="O21" s="13"/>
      <c r="P21" s="13"/>
      <c r="Q21" s="14"/>
      <c r="R21" s="13"/>
      <c r="S21" s="14"/>
      <c r="T21" s="27">
        <f>S21*0.2</f>
        <v>0</v>
      </c>
      <c r="U21" s="27">
        <f t="shared" ref="U21:U34" si="7">T21*0.08</f>
        <v>0</v>
      </c>
      <c r="V21" s="114">
        <v>5</v>
      </c>
      <c r="W21" s="15"/>
      <c r="X21" s="115" t="str">
        <f t="shared" si="2"/>
        <v>OK</v>
      </c>
      <c r="Y21" s="115" t="str">
        <f t="shared" si="3"/>
        <v>OK</v>
      </c>
      <c r="Z21" s="115" t="str">
        <f t="shared" si="4"/>
        <v>OK</v>
      </c>
      <c r="AA21" s="6"/>
      <c r="AB21" s="6"/>
      <c r="AC21" s="115" t="str">
        <f t="shared" si="5"/>
        <v>OK</v>
      </c>
      <c r="AD21" s="6"/>
      <c r="AE21" s="115" t="str">
        <f t="shared" si="6"/>
        <v>OK</v>
      </c>
    </row>
    <row r="22" spans="1:32" ht="20.100000000000001" customHeight="1" thickTop="1" thickBot="1">
      <c r="A22" s="164"/>
      <c r="B22" s="158" t="s">
        <v>50</v>
      </c>
      <c r="C22" s="114">
        <v>6</v>
      </c>
      <c r="D22" s="14"/>
      <c r="E22" s="14"/>
      <c r="F22" s="27">
        <f t="shared" si="0"/>
        <v>0</v>
      </c>
      <c r="G22" s="14"/>
      <c r="H22" s="14"/>
      <c r="I22" s="14"/>
      <c r="J22" s="25"/>
      <c r="K22" s="52">
        <f t="shared" si="1"/>
        <v>0</v>
      </c>
      <c r="L22" s="23"/>
      <c r="M22" s="13"/>
      <c r="N22" s="13"/>
      <c r="O22" s="13"/>
      <c r="P22" s="13"/>
      <c r="Q22" s="14"/>
      <c r="R22" s="13"/>
      <c r="S22" s="14"/>
      <c r="T22" s="27">
        <f>S22*0.2</f>
        <v>0</v>
      </c>
      <c r="U22" s="27">
        <f t="shared" si="7"/>
        <v>0</v>
      </c>
      <c r="V22" s="114">
        <v>6</v>
      </c>
      <c r="W22" s="15"/>
      <c r="X22" s="115" t="str">
        <f t="shared" si="2"/>
        <v>OK</v>
      </c>
      <c r="Y22" s="115" t="str">
        <f t="shared" si="3"/>
        <v>OK</v>
      </c>
      <c r="Z22" s="115" t="str">
        <f t="shared" si="4"/>
        <v>OK</v>
      </c>
      <c r="AA22" s="6"/>
      <c r="AB22" s="6"/>
      <c r="AC22" s="115" t="str">
        <f t="shared" si="5"/>
        <v>OK</v>
      </c>
      <c r="AD22" s="6"/>
      <c r="AE22" s="115" t="str">
        <f t="shared" si="6"/>
        <v>OK</v>
      </c>
    </row>
    <row r="23" spans="1:32" ht="16.5" customHeight="1" thickTop="1" thickBot="1">
      <c r="A23" s="11"/>
      <c r="B23" s="158">
        <v>0.35</v>
      </c>
      <c r="C23" s="114">
        <v>7</v>
      </c>
      <c r="D23" s="14"/>
      <c r="E23" s="14"/>
      <c r="F23" s="27">
        <f t="shared" si="0"/>
        <v>0</v>
      </c>
      <c r="G23" s="14"/>
      <c r="H23" s="14"/>
      <c r="I23" s="14"/>
      <c r="J23" s="25"/>
      <c r="K23" s="52">
        <f t="shared" si="1"/>
        <v>0</v>
      </c>
      <c r="L23" s="23"/>
      <c r="M23" s="13"/>
      <c r="N23" s="13"/>
      <c r="O23" s="13"/>
      <c r="P23" s="13"/>
      <c r="Q23" s="14"/>
      <c r="R23" s="13"/>
      <c r="S23" s="14"/>
      <c r="T23" s="27">
        <f>S23*0.35</f>
        <v>0</v>
      </c>
      <c r="U23" s="27">
        <f t="shared" si="7"/>
        <v>0</v>
      </c>
      <c r="V23" s="114">
        <v>7</v>
      </c>
      <c r="W23" s="15"/>
      <c r="X23" s="115" t="str">
        <f t="shared" si="2"/>
        <v>OK</v>
      </c>
      <c r="Y23" s="115" t="str">
        <f t="shared" si="3"/>
        <v>OK</v>
      </c>
      <c r="Z23" s="115" t="str">
        <f t="shared" si="4"/>
        <v>OK</v>
      </c>
      <c r="AA23" s="6"/>
      <c r="AB23" s="6"/>
      <c r="AC23" s="115" t="str">
        <f t="shared" si="5"/>
        <v>OK</v>
      </c>
      <c r="AD23" s="6"/>
      <c r="AE23" s="115" t="str">
        <f t="shared" si="6"/>
        <v>OK</v>
      </c>
    </row>
    <row r="24" spans="1:32" ht="20.100000000000001" customHeight="1" thickTop="1" thickBot="1">
      <c r="A24" s="163"/>
      <c r="B24" s="158" t="s">
        <v>48</v>
      </c>
      <c r="C24" s="114">
        <v>8</v>
      </c>
      <c r="D24" s="14"/>
      <c r="E24" s="14"/>
      <c r="F24" s="27">
        <f t="shared" si="0"/>
        <v>0</v>
      </c>
      <c r="G24" s="14"/>
      <c r="H24" s="14"/>
      <c r="I24" s="14"/>
      <c r="J24" s="25"/>
      <c r="K24" s="52">
        <f t="shared" si="1"/>
        <v>0</v>
      </c>
      <c r="L24" s="23"/>
      <c r="M24" s="13"/>
      <c r="N24" s="13"/>
      <c r="O24" s="13"/>
      <c r="P24" s="13"/>
      <c r="Q24" s="14"/>
      <c r="R24" s="13"/>
      <c r="S24" s="14"/>
      <c r="T24" s="27">
        <f>S24*0.5</f>
        <v>0</v>
      </c>
      <c r="U24" s="27">
        <f t="shared" si="7"/>
        <v>0</v>
      </c>
      <c r="V24" s="114">
        <v>8</v>
      </c>
      <c r="W24" s="15"/>
      <c r="X24" s="115" t="str">
        <f t="shared" si="2"/>
        <v>OK</v>
      </c>
      <c r="Y24" s="115" t="str">
        <f t="shared" si="3"/>
        <v>OK</v>
      </c>
      <c r="Z24" s="115" t="str">
        <f t="shared" si="4"/>
        <v>OK</v>
      </c>
      <c r="AA24" s="6"/>
      <c r="AB24" s="6"/>
      <c r="AC24" s="115" t="str">
        <f t="shared" si="5"/>
        <v>OK</v>
      </c>
      <c r="AD24" s="6"/>
      <c r="AE24" s="115" t="str">
        <f t="shared" si="6"/>
        <v>OK</v>
      </c>
    </row>
    <row r="25" spans="1:32" ht="20.100000000000001" customHeight="1" thickTop="1" thickBot="1">
      <c r="A25" s="163"/>
      <c r="B25" s="158" t="s">
        <v>50</v>
      </c>
      <c r="C25" s="114">
        <v>9</v>
      </c>
      <c r="D25" s="14"/>
      <c r="E25" s="14"/>
      <c r="F25" s="27">
        <f t="shared" si="0"/>
        <v>0</v>
      </c>
      <c r="G25" s="14"/>
      <c r="H25" s="14"/>
      <c r="I25" s="14"/>
      <c r="J25" s="25"/>
      <c r="K25" s="52">
        <f t="shared" si="1"/>
        <v>0</v>
      </c>
      <c r="L25" s="23"/>
      <c r="M25" s="13"/>
      <c r="N25" s="13"/>
      <c r="O25" s="13"/>
      <c r="P25" s="13"/>
      <c r="Q25" s="14"/>
      <c r="R25" s="13"/>
      <c r="S25" s="14"/>
      <c r="T25" s="27">
        <f>S25*0.5</f>
        <v>0</v>
      </c>
      <c r="U25" s="27">
        <f t="shared" si="7"/>
        <v>0</v>
      </c>
      <c r="V25" s="114">
        <v>9</v>
      </c>
      <c r="W25" s="15"/>
      <c r="X25" s="115" t="str">
        <f t="shared" si="2"/>
        <v>OK</v>
      </c>
      <c r="Y25" s="115" t="str">
        <f t="shared" si="3"/>
        <v>OK</v>
      </c>
      <c r="Z25" s="115" t="str">
        <f t="shared" si="4"/>
        <v>OK</v>
      </c>
      <c r="AA25" s="6"/>
      <c r="AB25" s="6"/>
      <c r="AC25" s="115" t="str">
        <f t="shared" si="5"/>
        <v>OK</v>
      </c>
      <c r="AD25" s="6"/>
      <c r="AE25" s="115" t="str">
        <f t="shared" si="6"/>
        <v>OK</v>
      </c>
    </row>
    <row r="26" spans="1:32" ht="20.100000000000001" customHeight="1" thickTop="1" thickBot="1">
      <c r="A26" s="163"/>
      <c r="B26" s="158" t="s">
        <v>552</v>
      </c>
      <c r="C26" s="114">
        <v>11</v>
      </c>
      <c r="D26" s="14"/>
      <c r="E26" s="14"/>
      <c r="F26" s="27">
        <f t="shared" si="0"/>
        <v>0</v>
      </c>
      <c r="G26" s="14"/>
      <c r="H26" s="14"/>
      <c r="I26" s="14"/>
      <c r="J26" s="25"/>
      <c r="K26" s="52">
        <f t="shared" si="1"/>
        <v>0</v>
      </c>
      <c r="L26" s="23"/>
      <c r="M26" s="13"/>
      <c r="N26" s="13"/>
      <c r="O26" s="13"/>
      <c r="P26" s="13"/>
      <c r="Q26" s="14"/>
      <c r="R26" s="13"/>
      <c r="S26" s="14"/>
      <c r="T26" s="27">
        <f>S26*0.75</f>
        <v>0</v>
      </c>
      <c r="U26" s="27">
        <f t="shared" si="7"/>
        <v>0</v>
      </c>
      <c r="V26" s="114">
        <v>11</v>
      </c>
      <c r="W26" s="15"/>
      <c r="X26" s="115" t="str">
        <f t="shared" si="2"/>
        <v>OK</v>
      </c>
      <c r="Y26" s="115" t="str">
        <f t="shared" si="3"/>
        <v>OK</v>
      </c>
      <c r="Z26" s="115" t="str">
        <f t="shared" si="4"/>
        <v>OK</v>
      </c>
      <c r="AA26" s="6"/>
      <c r="AB26" s="6"/>
      <c r="AC26" s="115" t="str">
        <f t="shared" si="5"/>
        <v>OK</v>
      </c>
      <c r="AD26" s="6"/>
      <c r="AE26" s="115" t="str">
        <f t="shared" si="6"/>
        <v>OK</v>
      </c>
    </row>
    <row r="27" spans="1:32" ht="20.100000000000001" customHeight="1" thickTop="1" thickBot="1">
      <c r="A27" s="163"/>
      <c r="B27" s="159" t="s">
        <v>49</v>
      </c>
      <c r="C27" s="280">
        <v>20</v>
      </c>
      <c r="D27" s="14"/>
      <c r="E27" s="14"/>
      <c r="F27" s="279">
        <f t="shared" si="0"/>
        <v>0</v>
      </c>
      <c r="G27" s="14"/>
      <c r="H27" s="14"/>
      <c r="I27" s="14"/>
      <c r="J27" s="25"/>
      <c r="K27" s="52">
        <f t="shared" si="1"/>
        <v>0</v>
      </c>
      <c r="L27" s="23"/>
      <c r="M27" s="13"/>
      <c r="N27" s="13"/>
      <c r="O27" s="13"/>
      <c r="P27" s="13"/>
      <c r="Q27" s="14"/>
      <c r="R27" s="13"/>
      <c r="S27" s="14"/>
      <c r="T27" s="279">
        <f>S27*0.75</f>
        <v>0</v>
      </c>
      <c r="U27" s="279">
        <f t="shared" si="7"/>
        <v>0</v>
      </c>
      <c r="V27" s="280">
        <v>20</v>
      </c>
      <c r="W27" s="15"/>
      <c r="X27" s="115" t="str">
        <f>IF(D27&gt;=0,"OK","ERROR")</f>
        <v>OK</v>
      </c>
      <c r="Y27" s="115" t="str">
        <f>IF(E27&lt;=0,"OK","ERROR")</f>
        <v>OK</v>
      </c>
      <c r="Z27" s="115" t="str">
        <f>IF(MIN(F27:N27)&gt;=0,"OK","ERROR")</f>
        <v>OK</v>
      </c>
      <c r="AA27" s="6"/>
      <c r="AB27" s="6"/>
      <c r="AC27" s="115" t="str">
        <f t="shared" si="5"/>
        <v>OK</v>
      </c>
      <c r="AD27" s="6"/>
      <c r="AE27" s="115" t="str">
        <f t="shared" si="6"/>
        <v>OK</v>
      </c>
    </row>
    <row r="28" spans="1:32" ht="19.5" customHeight="1" thickTop="1" thickBot="1">
      <c r="A28" s="163"/>
      <c r="B28" s="158" t="s">
        <v>51</v>
      </c>
      <c r="C28" s="114">
        <v>12</v>
      </c>
      <c r="D28" s="14"/>
      <c r="E28" s="14"/>
      <c r="F28" s="27">
        <f t="shared" si="0"/>
        <v>0</v>
      </c>
      <c r="G28" s="14"/>
      <c r="H28" s="14"/>
      <c r="I28" s="14"/>
      <c r="J28" s="25"/>
      <c r="K28" s="52">
        <f t="shared" si="1"/>
        <v>0</v>
      </c>
      <c r="L28" s="23"/>
      <c r="M28" s="13"/>
      <c r="N28" s="13"/>
      <c r="O28" s="13"/>
      <c r="P28" s="13"/>
      <c r="Q28" s="14"/>
      <c r="R28" s="13"/>
      <c r="S28" s="14"/>
      <c r="T28" s="27">
        <f>S28*1</f>
        <v>0</v>
      </c>
      <c r="U28" s="27">
        <f t="shared" si="7"/>
        <v>0</v>
      </c>
      <c r="V28" s="114">
        <v>12</v>
      </c>
      <c r="W28" s="15"/>
      <c r="X28" s="115" t="str">
        <f t="shared" si="2"/>
        <v>OK</v>
      </c>
      <c r="Y28" s="115" t="str">
        <f t="shared" si="3"/>
        <v>OK</v>
      </c>
      <c r="Z28" s="115" t="str">
        <f t="shared" si="4"/>
        <v>OK</v>
      </c>
      <c r="AA28" s="6"/>
      <c r="AB28" s="6"/>
      <c r="AC28" s="115" t="str">
        <f t="shared" si="5"/>
        <v>OK</v>
      </c>
      <c r="AD28" s="6"/>
      <c r="AE28" s="115" t="str">
        <f t="shared" si="6"/>
        <v>OK</v>
      </c>
    </row>
    <row r="29" spans="1:32" ht="19.5" customHeight="1" thickTop="1" thickBot="1">
      <c r="A29" s="163"/>
      <c r="B29" s="158" t="s">
        <v>50</v>
      </c>
      <c r="C29" s="114">
        <v>13</v>
      </c>
      <c r="D29" s="14"/>
      <c r="E29" s="14"/>
      <c r="F29" s="27">
        <f t="shared" si="0"/>
        <v>0</v>
      </c>
      <c r="G29" s="14"/>
      <c r="H29" s="14"/>
      <c r="I29" s="14"/>
      <c r="J29" s="25"/>
      <c r="K29" s="52">
        <f t="shared" si="1"/>
        <v>0</v>
      </c>
      <c r="L29" s="23"/>
      <c r="M29" s="13"/>
      <c r="N29" s="13"/>
      <c r="O29" s="13"/>
      <c r="P29" s="13"/>
      <c r="Q29" s="14"/>
      <c r="R29" s="13"/>
      <c r="S29" s="14"/>
      <c r="T29" s="27">
        <f>S29*1</f>
        <v>0</v>
      </c>
      <c r="U29" s="27">
        <f t="shared" si="7"/>
        <v>0</v>
      </c>
      <c r="V29" s="114">
        <v>13</v>
      </c>
      <c r="W29" s="15"/>
      <c r="X29" s="115" t="str">
        <f t="shared" si="2"/>
        <v>OK</v>
      </c>
      <c r="Y29" s="115" t="str">
        <f t="shared" si="3"/>
        <v>OK</v>
      </c>
      <c r="Z29" s="115" t="str">
        <f t="shared" si="4"/>
        <v>OK</v>
      </c>
      <c r="AA29" s="6"/>
      <c r="AB29" s="6"/>
      <c r="AC29" s="115" t="str">
        <f t="shared" si="5"/>
        <v>OK</v>
      </c>
      <c r="AD29" s="6"/>
      <c r="AE29" s="115" t="str">
        <f t="shared" si="6"/>
        <v>OK</v>
      </c>
    </row>
    <row r="30" spans="1:32" ht="19.5" customHeight="1" thickTop="1" thickBot="1">
      <c r="A30" s="163"/>
      <c r="B30" s="159" t="s">
        <v>49</v>
      </c>
      <c r="C30" s="114">
        <v>14</v>
      </c>
      <c r="D30" s="14"/>
      <c r="E30" s="14"/>
      <c r="F30" s="27">
        <f t="shared" si="0"/>
        <v>0</v>
      </c>
      <c r="G30" s="14"/>
      <c r="H30" s="14"/>
      <c r="I30" s="14"/>
      <c r="J30" s="25"/>
      <c r="K30" s="52">
        <f t="shared" si="1"/>
        <v>0</v>
      </c>
      <c r="L30" s="23"/>
      <c r="M30" s="13"/>
      <c r="N30" s="13"/>
      <c r="O30" s="13"/>
      <c r="P30" s="13"/>
      <c r="Q30" s="14"/>
      <c r="R30" s="13"/>
      <c r="S30" s="14"/>
      <c r="T30" s="27">
        <f>S30*1</f>
        <v>0</v>
      </c>
      <c r="U30" s="27">
        <f t="shared" si="7"/>
        <v>0</v>
      </c>
      <c r="V30" s="114">
        <v>14</v>
      </c>
      <c r="W30" s="15"/>
      <c r="X30" s="115" t="str">
        <f t="shared" si="2"/>
        <v>OK</v>
      </c>
      <c r="Y30" s="115" t="str">
        <f t="shared" si="3"/>
        <v>OK</v>
      </c>
      <c r="Z30" s="115" t="str">
        <f t="shared" si="4"/>
        <v>OK</v>
      </c>
      <c r="AA30" s="6"/>
      <c r="AB30" s="6"/>
      <c r="AC30" s="115" t="str">
        <f t="shared" si="5"/>
        <v>OK</v>
      </c>
      <c r="AD30" s="6"/>
      <c r="AE30" s="115" t="str">
        <f t="shared" si="6"/>
        <v>OK</v>
      </c>
    </row>
    <row r="31" spans="1:32" ht="19.5" customHeight="1" thickTop="1" thickBot="1">
      <c r="A31" s="163"/>
      <c r="B31" s="158" t="s">
        <v>52</v>
      </c>
      <c r="C31" s="114">
        <v>15</v>
      </c>
      <c r="D31" s="14"/>
      <c r="E31" s="14"/>
      <c r="F31" s="27">
        <f t="shared" si="0"/>
        <v>0</v>
      </c>
      <c r="G31" s="14"/>
      <c r="H31" s="14"/>
      <c r="I31" s="14"/>
      <c r="J31" s="25"/>
      <c r="K31" s="52">
        <f t="shared" si="1"/>
        <v>0</v>
      </c>
      <c r="L31" s="23"/>
      <c r="M31" s="13"/>
      <c r="N31" s="13"/>
      <c r="O31" s="13"/>
      <c r="P31" s="13"/>
      <c r="Q31" s="14"/>
      <c r="R31" s="13"/>
      <c r="S31" s="14"/>
      <c r="T31" s="27">
        <f>S31*1</f>
        <v>0</v>
      </c>
      <c r="U31" s="27">
        <f t="shared" si="7"/>
        <v>0</v>
      </c>
      <c r="V31" s="114">
        <v>15</v>
      </c>
      <c r="W31" s="15"/>
      <c r="X31" s="115" t="str">
        <f t="shared" si="2"/>
        <v>OK</v>
      </c>
      <c r="Y31" s="115" t="str">
        <f t="shared" si="3"/>
        <v>OK</v>
      </c>
      <c r="Z31" s="115" t="str">
        <f t="shared" si="4"/>
        <v>OK</v>
      </c>
      <c r="AA31" s="6"/>
      <c r="AB31" s="6"/>
      <c r="AC31" s="115" t="str">
        <f t="shared" si="5"/>
        <v>OK</v>
      </c>
      <c r="AD31" s="6"/>
      <c r="AE31" s="115" t="str">
        <f t="shared" si="6"/>
        <v>OK</v>
      </c>
    </row>
    <row r="32" spans="1:32" ht="19.5" customHeight="1" thickTop="1" thickBot="1">
      <c r="A32" s="163"/>
      <c r="B32" s="158" t="s">
        <v>53</v>
      </c>
      <c r="C32" s="114">
        <v>16</v>
      </c>
      <c r="D32" s="14"/>
      <c r="E32" s="14"/>
      <c r="F32" s="27">
        <f t="shared" si="0"/>
        <v>0</v>
      </c>
      <c r="G32" s="14"/>
      <c r="H32" s="14"/>
      <c r="I32" s="14"/>
      <c r="J32" s="25"/>
      <c r="K32" s="52">
        <f t="shared" si="1"/>
        <v>0</v>
      </c>
      <c r="L32" s="23"/>
      <c r="M32" s="13"/>
      <c r="N32" s="13"/>
      <c r="O32" s="13"/>
      <c r="P32" s="13"/>
      <c r="Q32" s="14"/>
      <c r="R32" s="13"/>
      <c r="S32" s="14"/>
      <c r="T32" s="27">
        <f>S32*1.5</f>
        <v>0</v>
      </c>
      <c r="U32" s="27">
        <f t="shared" si="7"/>
        <v>0</v>
      </c>
      <c r="V32" s="114">
        <v>16</v>
      </c>
      <c r="W32" s="15"/>
      <c r="X32" s="115" t="str">
        <f t="shared" si="2"/>
        <v>OK</v>
      </c>
      <c r="Y32" s="115" t="str">
        <f t="shared" si="3"/>
        <v>OK</v>
      </c>
      <c r="Z32" s="115" t="str">
        <f t="shared" si="4"/>
        <v>OK</v>
      </c>
      <c r="AA32" s="6"/>
      <c r="AB32" s="6"/>
      <c r="AC32" s="115" t="str">
        <f t="shared" si="5"/>
        <v>OK</v>
      </c>
      <c r="AD32" s="6"/>
      <c r="AE32" s="115" t="str">
        <f t="shared" si="6"/>
        <v>OK</v>
      </c>
    </row>
    <row r="33" spans="1:32" ht="19.5" customHeight="1" thickTop="1" thickBot="1">
      <c r="A33" s="163"/>
      <c r="B33" s="158" t="s">
        <v>52</v>
      </c>
      <c r="C33" s="114">
        <v>17</v>
      </c>
      <c r="D33" s="14"/>
      <c r="E33" s="14"/>
      <c r="F33" s="27">
        <f t="shared" si="0"/>
        <v>0</v>
      </c>
      <c r="G33" s="14"/>
      <c r="H33" s="14"/>
      <c r="I33" s="14"/>
      <c r="J33" s="25"/>
      <c r="K33" s="52">
        <f t="shared" si="1"/>
        <v>0</v>
      </c>
      <c r="L33" s="23"/>
      <c r="M33" s="13"/>
      <c r="N33" s="13"/>
      <c r="O33" s="13"/>
      <c r="P33" s="13"/>
      <c r="Q33" s="14"/>
      <c r="R33" s="13"/>
      <c r="S33" s="14"/>
      <c r="T33" s="27">
        <f>S33*1.5</f>
        <v>0</v>
      </c>
      <c r="U33" s="27">
        <f t="shared" si="7"/>
        <v>0</v>
      </c>
      <c r="V33" s="114">
        <v>17</v>
      </c>
      <c r="W33" s="15"/>
      <c r="X33" s="115" t="str">
        <f t="shared" si="2"/>
        <v>OK</v>
      </c>
      <c r="Y33" s="115" t="str">
        <f t="shared" si="3"/>
        <v>OK</v>
      </c>
      <c r="Z33" s="115" t="str">
        <f t="shared" si="4"/>
        <v>OK</v>
      </c>
      <c r="AA33" s="6"/>
      <c r="AB33" s="6"/>
      <c r="AC33" s="115" t="str">
        <f t="shared" si="5"/>
        <v>OK</v>
      </c>
      <c r="AD33" s="6"/>
      <c r="AE33" s="115" t="str">
        <f t="shared" si="6"/>
        <v>OK</v>
      </c>
    </row>
    <row r="34" spans="1:32" ht="20.100000000000001" customHeight="1" thickTop="1" thickBot="1">
      <c r="A34" s="163"/>
      <c r="B34" s="158">
        <v>3.5</v>
      </c>
      <c r="C34" s="114">
        <v>18</v>
      </c>
      <c r="D34" s="14"/>
      <c r="E34" s="14"/>
      <c r="F34" s="27">
        <f t="shared" si="0"/>
        <v>0</v>
      </c>
      <c r="G34" s="14"/>
      <c r="H34" s="14"/>
      <c r="I34" s="14"/>
      <c r="J34" s="25"/>
      <c r="K34" s="52">
        <f t="shared" si="1"/>
        <v>0</v>
      </c>
      <c r="L34" s="23"/>
      <c r="M34" s="13"/>
      <c r="N34" s="13"/>
      <c r="O34" s="13"/>
      <c r="P34" s="13"/>
      <c r="Q34" s="14"/>
      <c r="R34" s="13"/>
      <c r="S34" s="14"/>
      <c r="T34" s="27">
        <f>S34*3.5</f>
        <v>0</v>
      </c>
      <c r="U34" s="27">
        <f t="shared" si="7"/>
        <v>0</v>
      </c>
      <c r="V34" s="114">
        <v>18</v>
      </c>
      <c r="W34" s="15"/>
      <c r="X34" s="115" t="str">
        <f t="shared" si="2"/>
        <v>OK</v>
      </c>
      <c r="Y34" s="115" t="str">
        <f t="shared" si="3"/>
        <v>OK</v>
      </c>
      <c r="Z34" s="115" t="str">
        <f t="shared" si="4"/>
        <v>OK</v>
      </c>
      <c r="AA34" s="6"/>
      <c r="AB34" s="6"/>
      <c r="AC34" s="115" t="str">
        <f t="shared" si="5"/>
        <v>OK</v>
      </c>
      <c r="AD34" s="6"/>
      <c r="AE34" s="115" t="str">
        <f t="shared" si="6"/>
        <v>OK</v>
      </c>
    </row>
    <row r="35" spans="1:32" ht="6" customHeight="1" thickTop="1">
      <c r="A35" s="165"/>
      <c r="B35" s="168"/>
      <c r="C35" s="8"/>
      <c r="D35" s="128"/>
      <c r="E35" s="128"/>
      <c r="F35" s="128"/>
      <c r="G35" s="128"/>
      <c r="H35" s="128"/>
      <c r="I35" s="128"/>
      <c r="J35" s="128"/>
      <c r="K35" s="128"/>
      <c r="L35" s="128"/>
      <c r="M35" s="128"/>
      <c r="N35" s="128"/>
      <c r="O35" s="128"/>
      <c r="P35" s="128"/>
      <c r="Q35" s="128"/>
      <c r="R35" s="128"/>
      <c r="S35" s="128"/>
      <c r="T35" s="128"/>
      <c r="U35" s="128"/>
      <c r="V35" s="8"/>
      <c r="W35" s="149"/>
      <c r="X35" s="149"/>
      <c r="Y35" s="142"/>
      <c r="Z35" s="142"/>
      <c r="AA35" s="6"/>
      <c r="AB35" s="6"/>
      <c r="AC35" s="6"/>
      <c r="AD35" s="6"/>
      <c r="AE35" s="6"/>
      <c r="AF35" s="6"/>
    </row>
    <row r="36" spans="1:32" ht="15" customHeight="1">
      <c r="A36" s="85"/>
      <c r="B36" s="21" t="str">
        <f>"Version: "&amp;D43</f>
        <v>Version: 2.01.E0</v>
      </c>
      <c r="C36" s="85"/>
      <c r="D36" s="85"/>
      <c r="E36" s="85"/>
      <c r="F36" s="85"/>
      <c r="G36" s="85"/>
      <c r="H36" s="85"/>
      <c r="I36" s="85"/>
      <c r="J36" s="85"/>
      <c r="K36" s="85"/>
      <c r="L36" s="85"/>
      <c r="M36" s="85"/>
      <c r="N36" s="85"/>
      <c r="O36" s="85"/>
      <c r="P36" s="85"/>
      <c r="Q36" s="85"/>
      <c r="R36" s="85"/>
      <c r="S36" s="85"/>
      <c r="T36" s="85"/>
      <c r="U36" s="85"/>
      <c r="V36" s="171" t="s">
        <v>157</v>
      </c>
      <c r="W36" s="15"/>
      <c r="X36" s="15"/>
      <c r="Y36" s="149"/>
      <c r="Z36" s="149"/>
      <c r="AA36" s="6"/>
      <c r="AB36" s="6"/>
      <c r="AC36" s="6"/>
      <c r="AD36" s="6"/>
      <c r="AE36" s="6"/>
      <c r="AF36" s="6"/>
    </row>
    <row r="37" spans="1:32" ht="15" customHeight="1">
      <c r="A37"/>
      <c r="B37"/>
      <c r="C37"/>
      <c r="D37"/>
      <c r="E37"/>
      <c r="F37"/>
      <c r="G37"/>
      <c r="H37"/>
      <c r="I37"/>
      <c r="J37"/>
      <c r="K37"/>
      <c r="L37"/>
      <c r="M37"/>
      <c r="N37"/>
      <c r="O37"/>
      <c r="P37"/>
      <c r="Q37"/>
      <c r="R37"/>
      <c r="S37"/>
      <c r="T37"/>
      <c r="U37"/>
      <c r="V37" s="6"/>
      <c r="W37" s="15"/>
      <c r="X37" s="15"/>
      <c r="Y37" s="15"/>
      <c r="Z37" s="15"/>
    </row>
    <row r="38" spans="1:32" ht="15" customHeight="1">
      <c r="Q38" s="57"/>
      <c r="S38" s="57"/>
      <c r="V38" s="6"/>
    </row>
    <row r="39" spans="1:32" ht="15" customHeight="1">
      <c r="Q39" s="57"/>
      <c r="S39" s="57"/>
    </row>
    <row r="40" spans="1:32" ht="15" customHeight="1">
      <c r="B40" s="3"/>
      <c r="C40" s="31" t="s">
        <v>94</v>
      </c>
      <c r="D40" s="16" t="str">
        <f>U2</f>
        <v>XXXXXX</v>
      </c>
    </row>
    <row r="41" spans="1:32" ht="15" customHeight="1">
      <c r="B41" s="5"/>
      <c r="D41" s="17" t="str">
        <f>U1</f>
        <v>CSIB_CRSABIS_05</v>
      </c>
    </row>
    <row r="42" spans="1:32" ht="15" customHeight="1">
      <c r="B42" s="5"/>
      <c r="D42" s="18" t="str">
        <f>U3</f>
        <v>DD.MM.YYYY</v>
      </c>
    </row>
    <row r="43" spans="1:32" ht="15" customHeight="1">
      <c r="B43" s="19"/>
      <c r="D43" s="20" t="s">
        <v>551</v>
      </c>
    </row>
    <row r="44" spans="1:32" ht="15" customHeight="1">
      <c r="B44" s="5"/>
      <c r="D44" s="17" t="str">
        <f>D13</f>
        <v>col. 01</v>
      </c>
    </row>
    <row r="45" spans="1:32" ht="15" customHeight="1">
      <c r="B45" s="10"/>
      <c r="C45" s="8"/>
      <c r="D45" s="59">
        <f>COUNTIF(D49:U54,"ERROR")+COUNTIF(X14:AE35,"ERROR")</f>
        <v>0</v>
      </c>
    </row>
    <row r="46" spans="1:32" ht="16.5" customHeight="1">
      <c r="B46" s="6"/>
      <c r="C46" s="7"/>
      <c r="D46" s="58"/>
    </row>
    <row r="47" spans="1:32">
      <c r="B47" s="6"/>
      <c r="C47" s="7"/>
      <c r="D47" s="56"/>
    </row>
    <row r="48" spans="1:32">
      <c r="D48" s="166" t="s">
        <v>95</v>
      </c>
      <c r="E48" s="166" t="s">
        <v>96</v>
      </c>
      <c r="F48" s="166" t="s">
        <v>97</v>
      </c>
      <c r="G48" s="166" t="s">
        <v>98</v>
      </c>
      <c r="H48" s="166" t="s">
        <v>99</v>
      </c>
      <c r="I48" s="166" t="s">
        <v>100</v>
      </c>
      <c r="J48" s="166" t="s">
        <v>101</v>
      </c>
      <c r="K48" s="166" t="s">
        <v>102</v>
      </c>
      <c r="L48" s="166" t="s">
        <v>103</v>
      </c>
      <c r="M48" s="166" t="s">
        <v>104</v>
      </c>
      <c r="N48" s="166" t="s">
        <v>105</v>
      </c>
      <c r="O48" s="166" t="s">
        <v>106</v>
      </c>
      <c r="P48" s="166" t="s">
        <v>107</v>
      </c>
      <c r="Q48" s="166" t="s">
        <v>108</v>
      </c>
      <c r="R48" s="166" t="s">
        <v>109</v>
      </c>
      <c r="S48" s="166" t="s">
        <v>110</v>
      </c>
      <c r="T48" s="166" t="s">
        <v>111</v>
      </c>
      <c r="U48" s="166" t="s">
        <v>112</v>
      </c>
      <c r="V48" s="85"/>
      <c r="W48" s="85"/>
    </row>
    <row r="49" spans="2:23">
      <c r="B49" s="53" t="s">
        <v>547</v>
      </c>
      <c r="C49" s="54"/>
      <c r="D49" s="115" t="str">
        <f>IF(ROUND(D17+D16,0)=ROUND(D14,0),"OK","ERROR")</f>
        <v>OK</v>
      </c>
      <c r="E49" s="115" t="str">
        <f>IF(ROUND(E17+E16,0)=ROUND(E14,0),"OK","ERROR")</f>
        <v>OK</v>
      </c>
      <c r="F49" s="115" t="str">
        <f>IF(ROUND(F17+F16,0)=ROUND(F14,0),"OK","ERROR")</f>
        <v>OK</v>
      </c>
      <c r="G49" s="115" t="str">
        <f>IF(ROUND(G17,0)=ROUND(G14,0),"OK","ERROR")</f>
        <v>OK</v>
      </c>
      <c r="H49" s="115" t="str">
        <f>IF(ROUND(H17,0)=ROUND(H14,0),"OK","ERROR")</f>
        <v>OK</v>
      </c>
      <c r="I49" s="115" t="str">
        <f>IF(ROUND(I17,0)=ROUND(I14,0),"OK","ERROR")</f>
        <v>OK</v>
      </c>
      <c r="J49" s="115" t="str">
        <f>IF(ROUND(J17,0)=ROUND(J14,0),"OK","ERROR")</f>
        <v>OK</v>
      </c>
      <c r="K49" s="115" t="str">
        <f>IF(AND(ROUND(K16+K17,0)=ROUND(K14,0),ROUND(K14,0)=ROUND(K19+K20+K21+K23+K24+K26+K28+K32+K34,0)),"OK","ERROR")</f>
        <v>OK</v>
      </c>
      <c r="L49" s="85"/>
      <c r="M49" s="85"/>
      <c r="N49" s="85"/>
      <c r="O49" s="85"/>
      <c r="P49" s="85"/>
      <c r="Q49" s="115" t="str">
        <f>IF(AND(ROUND(Q17+Q16,0)=ROUND(Q14,0),ROUND(K14+O14+P14,0)=ROUND(Q14,0)),"OK","ERROR")</f>
        <v>OK</v>
      </c>
      <c r="R49" s="85"/>
      <c r="S49" s="115" t="str">
        <f>IF(AND(ROUND(S17+S16,0)=ROUND(S14,0),ROUND(Q14+R14,0)=ROUND(S14,0)),"OK","ERROR")</f>
        <v>OK</v>
      </c>
      <c r="T49" s="115" t="str">
        <f>IF(ROUND(T17+T16,0)=ROUND(T14,0),"OK","ERROR")</f>
        <v>OK</v>
      </c>
      <c r="U49" s="115" t="str">
        <f>IF(ROUND(U17+U16,0)=ROUND(U14,0),"OK","ERROR")</f>
        <v>OK</v>
      </c>
      <c r="V49" s="85"/>
      <c r="W49" s="85"/>
    </row>
    <row r="50" spans="2:23">
      <c r="B50" s="53" t="s">
        <v>548</v>
      </c>
      <c r="C50" s="55"/>
      <c r="D50" s="115" t="str">
        <f>IF(ROUND(D22,0)&lt;=ROUND(D21,0),"OK","ERROR")</f>
        <v>OK</v>
      </c>
      <c r="E50" s="115" t="str">
        <f>IF(ROUND(E22,0)&gt;=ROUND(E21,0),"OK","ERROR")</f>
        <v>OK</v>
      </c>
      <c r="F50" s="115" t="str">
        <f t="shared" ref="F50:K50" si="8">IF(ROUND(F22,0)&lt;=ROUND(F21,0),"OK","ERROR")</f>
        <v>OK</v>
      </c>
      <c r="G50" s="115" t="str">
        <f t="shared" si="8"/>
        <v>OK</v>
      </c>
      <c r="H50" s="115" t="str">
        <f t="shared" si="8"/>
        <v>OK</v>
      </c>
      <c r="I50" s="115" t="str">
        <f t="shared" si="8"/>
        <v>OK</v>
      </c>
      <c r="J50" s="115" t="str">
        <f t="shared" si="8"/>
        <v>OK</v>
      </c>
      <c r="K50" s="115" t="str">
        <f t="shared" si="8"/>
        <v>OK</v>
      </c>
      <c r="L50" s="85"/>
      <c r="M50" s="85"/>
      <c r="N50" s="85"/>
      <c r="O50" s="85"/>
      <c r="P50" s="85"/>
      <c r="Q50" s="115" t="str">
        <f>IF(ROUND(Q22,0)&lt;=ROUND(Q21,0),"OK","ERROR")</f>
        <v>OK</v>
      </c>
      <c r="R50" s="85"/>
      <c r="S50" s="115" t="str">
        <f>IF(ROUND(S22,0)&lt;=ROUND(S21,0),"OK","ERROR")</f>
        <v>OK</v>
      </c>
      <c r="T50" s="115" t="str">
        <f>IF(ROUND(T22,0)&lt;=ROUND(T21,0),"OK","ERROR")</f>
        <v>OK</v>
      </c>
      <c r="U50" s="115" t="str">
        <f>IF(ROUND(U22,0)&lt;=ROUND(U21,0),"OK","ERROR")</f>
        <v>OK</v>
      </c>
      <c r="V50" s="85"/>
      <c r="W50" s="85"/>
    </row>
    <row r="51" spans="2:23">
      <c r="B51" s="288" t="s">
        <v>549</v>
      </c>
      <c r="C51" s="55"/>
      <c r="D51" s="115" t="str">
        <f>IF(ROUND(D25,0)&lt;=ROUND(D24,0),"OK","ERROR")</f>
        <v>OK</v>
      </c>
      <c r="E51" s="115" t="str">
        <f>IF(ROUND(E25,0)&gt;=ROUND(E24,0),"OK","ERROR")</f>
        <v>OK</v>
      </c>
      <c r="F51" s="115" t="str">
        <f t="shared" ref="F51:K51" si="9">IF(ROUND(F25,0)&lt;=ROUND(F24,0),"OK","ERROR")</f>
        <v>OK</v>
      </c>
      <c r="G51" s="115" t="str">
        <f t="shared" si="9"/>
        <v>OK</v>
      </c>
      <c r="H51" s="115" t="str">
        <f t="shared" si="9"/>
        <v>OK</v>
      </c>
      <c r="I51" s="115" t="str">
        <f t="shared" si="9"/>
        <v>OK</v>
      </c>
      <c r="J51" s="115" t="str">
        <f t="shared" si="9"/>
        <v>OK</v>
      </c>
      <c r="K51" s="115" t="str">
        <f t="shared" si="9"/>
        <v>OK</v>
      </c>
      <c r="L51" s="278"/>
      <c r="M51" s="278"/>
      <c r="N51" s="278"/>
      <c r="O51" s="278"/>
      <c r="P51" s="278"/>
      <c r="Q51" s="115" t="str">
        <f>IF(ROUND(Q25,0)&lt;=ROUND(Q24,0),"OK","ERROR")</f>
        <v>OK</v>
      </c>
      <c r="R51" s="278"/>
      <c r="S51" s="115" t="str">
        <f>IF(ROUND(S25,0)&lt;=ROUND(S24,0),"OK","ERROR")</f>
        <v>OK</v>
      </c>
      <c r="T51" s="115" t="str">
        <f>IF(ROUND(T25,0)&lt;=ROUND(T24,0),"OK","ERROR")</f>
        <v>OK</v>
      </c>
      <c r="U51" s="115" t="str">
        <f>IF(ROUND(U25,0)&lt;=ROUND(U24,0),"OK","ERROR")</f>
        <v>OK</v>
      </c>
      <c r="V51" s="85"/>
      <c r="W51" s="85"/>
    </row>
    <row r="52" spans="2:23">
      <c r="B52" s="288" t="s">
        <v>553</v>
      </c>
      <c r="C52" s="55"/>
      <c r="D52" s="115" t="str">
        <f>IF(ROUND(D27,0)&lt;=ROUND(D26,0),"OK","ERROR")</f>
        <v>OK</v>
      </c>
      <c r="E52" s="115" t="str">
        <f>IF(ROUND(E27,0)&gt;=ROUND(E26,0),"OK","ERROR")</f>
        <v>OK</v>
      </c>
      <c r="F52" s="115" t="str">
        <f t="shared" ref="F52:K52" si="10">IF(ROUND(F27,0)&lt;=ROUND(F26,0),"OK","ERROR")</f>
        <v>OK</v>
      </c>
      <c r="G52" s="115" t="str">
        <f t="shared" si="10"/>
        <v>OK</v>
      </c>
      <c r="H52" s="115" t="str">
        <f t="shared" si="10"/>
        <v>OK</v>
      </c>
      <c r="I52" s="115" t="str">
        <f t="shared" si="10"/>
        <v>OK</v>
      </c>
      <c r="J52" s="115" t="str">
        <f t="shared" si="10"/>
        <v>OK</v>
      </c>
      <c r="K52" s="115" t="str">
        <f t="shared" si="10"/>
        <v>OK</v>
      </c>
      <c r="L52" s="278"/>
      <c r="M52" s="278"/>
      <c r="N52" s="278"/>
      <c r="O52" s="278"/>
      <c r="P52" s="278"/>
      <c r="Q52" s="115" t="str">
        <f>IF(ROUND(Q27,0)&lt;=ROUND(Q26,0),"OK","ERROR")</f>
        <v>OK</v>
      </c>
      <c r="R52" s="278"/>
      <c r="S52" s="115" t="str">
        <f>IF(ROUND(S27,0)&lt;=ROUND(S26,0),"OK","ERROR")</f>
        <v>OK</v>
      </c>
      <c r="T52" s="115" t="str">
        <f>IF(ROUND(T27,0)&lt;=ROUND(T26,0),"OK","ERROR")</f>
        <v>OK</v>
      </c>
      <c r="U52" s="115" t="str">
        <f>IF(ROUND(U27,0)&lt;=ROUND(U26,0),"OK","ERROR")</f>
        <v>OK</v>
      </c>
      <c r="V52" s="278"/>
      <c r="W52" s="278"/>
    </row>
    <row r="53" spans="2:23">
      <c r="B53" s="290"/>
      <c r="C53" s="278"/>
      <c r="D53" s="278"/>
      <c r="E53" s="278"/>
      <c r="F53" s="278"/>
      <c r="G53" s="278"/>
      <c r="H53" s="278"/>
      <c r="I53" s="278"/>
      <c r="J53" s="278"/>
      <c r="K53" s="278"/>
      <c r="L53" s="278"/>
      <c r="M53" s="278"/>
      <c r="N53" s="278"/>
      <c r="O53" s="278"/>
      <c r="P53" s="278"/>
      <c r="Q53" s="278"/>
      <c r="R53" s="278"/>
      <c r="S53" s="278"/>
      <c r="T53" s="278"/>
      <c r="U53" s="278"/>
      <c r="V53" s="85"/>
      <c r="W53" s="85"/>
    </row>
    <row r="54" spans="2:23">
      <c r="B54" s="53" t="s">
        <v>550</v>
      </c>
      <c r="C54" s="55"/>
      <c r="D54" s="115" t="str">
        <f>IF(ROUND(D33,0)&lt;=ROUND(D32,0),"OK","ERROR")</f>
        <v>OK</v>
      </c>
      <c r="E54" s="115" t="str">
        <f>IF(ROUND(E33,0)&gt;=ROUND(E32,0),"OK","ERROR")</f>
        <v>OK</v>
      </c>
      <c r="F54" s="115" t="str">
        <f t="shared" ref="F54:K54" si="11">IF(ROUND(F33,0)&lt;=ROUND(F32,0),"OK","ERROR")</f>
        <v>OK</v>
      </c>
      <c r="G54" s="115" t="str">
        <f t="shared" si="11"/>
        <v>OK</v>
      </c>
      <c r="H54" s="115" t="str">
        <f t="shared" si="11"/>
        <v>OK</v>
      </c>
      <c r="I54" s="115" t="str">
        <f t="shared" si="11"/>
        <v>OK</v>
      </c>
      <c r="J54" s="115" t="str">
        <f t="shared" si="11"/>
        <v>OK</v>
      </c>
      <c r="K54" s="115" t="str">
        <f t="shared" si="11"/>
        <v>OK</v>
      </c>
      <c r="L54" s="85"/>
      <c r="M54" s="85"/>
      <c r="N54" s="85"/>
      <c r="O54" s="85"/>
      <c r="P54" s="85"/>
      <c r="Q54" s="115" t="str">
        <f>IF(ROUND(Q33,0)&lt;=ROUND(Q32,0),"OK","ERROR")</f>
        <v>OK</v>
      </c>
      <c r="R54" s="85"/>
      <c r="S54" s="115" t="str">
        <f>IF(ROUND(S33,0)&lt;=ROUND(S32,0),"OK","ERROR")</f>
        <v>OK</v>
      </c>
      <c r="T54" s="115" t="str">
        <f>IF(ROUND(T33,0)&lt;=ROUND(T32,0),"OK","ERROR")</f>
        <v>OK</v>
      </c>
      <c r="U54" s="115" t="str">
        <f>IF(ROUND(U33,0)&lt;=ROUND(U32,0),"OK","ERROR")</f>
        <v>OK</v>
      </c>
      <c r="V54" s="85"/>
      <c r="W54" s="85"/>
    </row>
    <row r="55" spans="2:23">
      <c r="V55" s="85"/>
      <c r="W55" s="85"/>
    </row>
  </sheetData>
  <sheetProtection sheet="1" objects="1" scenarios="1"/>
  <customSheetViews>
    <customSheetView guid="{4435029F-2F1B-45E2-BFDE-13E66716A0E9}" scale="80" showGridLines="0" showRowCol="0" zeroValues="0">
      <pane xSplit="3" ySplit="13" topLeftCell="D14" activePane="bottomRight" state="frozen"/>
      <selection pane="bottomRight" activeCell="L14" sqref="L14"/>
      <colBreaks count="1" manualBreakCount="1">
        <brk id="11" max="34" man="1"/>
      </colBreaks>
      <pageMargins left="0.39370078740157483" right="0.39370078740157483" top="0.39370078740157483" bottom="0.39370078740157483" header="0.19685039370078741" footer="0"/>
      <pageSetup paperSize="9" scale="54" orientation="landscape" r:id="rId1"/>
      <headerFooter alignWithMargins="0">
        <oddFooter>&amp;L&amp;"Arial,Fett"SNB Confidential&amp;C&amp;D&amp;RPage &amp;P</oddFooter>
      </headerFooter>
    </customSheetView>
  </customSheetViews>
  <mergeCells count="2">
    <mergeCell ref="M2:Q2"/>
    <mergeCell ref="E2:I2"/>
  </mergeCells>
  <phoneticPr fontId="10" type="noConversion"/>
  <conditionalFormatting sqref="D25">
    <cfRule type="cellIs" dxfId="2" priority="3" stopIfTrue="1" operator="equal">
      <formula>$D$49="ERROR"</formula>
    </cfRule>
  </conditionalFormatting>
  <pageMargins left="0.39370078740157483" right="0.39370078740157483" top="0.39370078740157483" bottom="0.39370078740157483" header="0.19685039370078741" footer="0"/>
  <pageSetup paperSize="9" scale="54" orientation="landscape" r:id="rId2"/>
  <headerFooter alignWithMargins="0">
    <oddFooter>&amp;L&amp;"Arial,Fett"SNB Confidential&amp;C&amp;D&amp;RPage &amp;P</oddFooter>
  </headerFooter>
  <colBreaks count="1" manualBreakCount="1">
    <brk id="11" max="34"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F55"/>
  <sheetViews>
    <sheetView showGridLines="0" showRowColHeaders="0" showZeros="0" zoomScale="80" zoomScaleNormal="80" zoomScaleSheetLayoutView="80" workbookViewId="0">
      <pane xSplit="3" ySplit="13" topLeftCell="D14" activePane="bottomRight" state="frozen"/>
      <selection activeCell="T2" sqref="T2"/>
      <selection pane="topRight" activeCell="T2" sqref="T2"/>
      <selection pane="bottomLeft" activeCell="T2" sqref="T2"/>
      <selection pane="bottomRight" activeCell="L14" sqref="L14"/>
    </sheetView>
  </sheetViews>
  <sheetFormatPr baseColWidth="10" defaultColWidth="11.42578125" defaultRowHeight="12.75"/>
  <cols>
    <col min="1" max="1" width="8.42578125" style="4" customWidth="1"/>
    <col min="2" max="2" width="39.28515625" style="4" customWidth="1"/>
    <col min="3" max="3" width="4.7109375" style="4" customWidth="1"/>
    <col min="4" max="6" width="20.28515625" style="4" customWidth="1"/>
    <col min="7" max="7" width="15.7109375" style="4" customWidth="1"/>
    <col min="8" max="8" width="16.28515625" style="4" customWidth="1"/>
    <col min="9" max="9" width="15.7109375" style="4" customWidth="1"/>
    <col min="10" max="10" width="17.5703125" style="4" customWidth="1"/>
    <col min="11" max="11" width="24.85546875" style="4" customWidth="1"/>
    <col min="12" max="16" width="17.7109375" style="4" customWidth="1"/>
    <col min="17" max="20" width="20.28515625" style="4" customWidth="1"/>
    <col min="21" max="21" width="24.85546875" style="4" customWidth="1"/>
    <col min="22" max="22" width="4.7109375" style="4" customWidth="1"/>
    <col min="23" max="25" width="11.42578125" style="4" customWidth="1"/>
    <col min="26" max="26" width="21.5703125" style="4" customWidth="1"/>
    <col min="27" max="30" width="11.42578125" style="4" customWidth="1"/>
    <col min="31" max="31" width="21.5703125" style="4" customWidth="1"/>
    <col min="32" max="16384" width="11.42578125" style="4"/>
  </cols>
  <sheetData>
    <row r="1" spans="1:31" ht="20.25" customHeight="1">
      <c r="A1" s="6"/>
      <c r="B1" s="6"/>
      <c r="C1" s="6"/>
      <c r="E1" s="12" t="s">
        <v>46</v>
      </c>
      <c r="G1" s="11"/>
      <c r="H1" s="11"/>
      <c r="I1" s="11"/>
      <c r="J1" s="126" t="s">
        <v>61</v>
      </c>
      <c r="K1" s="305" t="s">
        <v>608</v>
      </c>
      <c r="L1" s="11"/>
      <c r="M1" s="12" t="s">
        <v>46</v>
      </c>
      <c r="N1" s="11"/>
      <c r="O1" s="11"/>
      <c r="P1" s="11"/>
      <c r="Q1" s="11"/>
      <c r="R1" s="11"/>
      <c r="S1" s="11"/>
      <c r="T1" s="126" t="s">
        <v>61</v>
      </c>
      <c r="U1" s="305" t="str">
        <f>K1</f>
        <v>CSIB_CRSABIS_06</v>
      </c>
      <c r="V1" s="11"/>
    </row>
    <row r="2" spans="1:31" ht="20.25" customHeight="1">
      <c r="A2" s="6"/>
      <c r="B2" s="11"/>
      <c r="C2" s="6"/>
      <c r="E2" s="669" t="s">
        <v>620</v>
      </c>
      <c r="F2" s="669"/>
      <c r="G2" s="669"/>
      <c r="H2" s="669"/>
      <c r="I2" s="669"/>
      <c r="J2" s="126" t="s">
        <v>1224</v>
      </c>
      <c r="K2" s="300" t="str">
        <f>'Delivery note'!H3</f>
        <v>XXXXXX</v>
      </c>
      <c r="L2" s="11"/>
      <c r="M2" s="669" t="s">
        <v>620</v>
      </c>
      <c r="N2" s="669"/>
      <c r="O2" s="669"/>
      <c r="P2" s="669"/>
      <c r="Q2" s="669"/>
      <c r="R2" s="11"/>
      <c r="S2" s="11"/>
      <c r="T2" s="126" t="s">
        <v>1224</v>
      </c>
      <c r="U2" s="300" t="str">
        <f>K2</f>
        <v>XXXXXX</v>
      </c>
      <c r="V2" s="11"/>
    </row>
    <row r="3" spans="1:31" ht="20.25" customHeight="1">
      <c r="A3" s="6"/>
      <c r="B3" s="11"/>
      <c r="C3" s="6"/>
      <c r="E3" s="144" t="s">
        <v>601</v>
      </c>
      <c r="G3" s="11"/>
      <c r="I3" s="85"/>
      <c r="J3" s="126" t="s">
        <v>546</v>
      </c>
      <c r="K3" s="306" t="str">
        <f>'Delivery note'!H4</f>
        <v>DD.MM.YYYY</v>
      </c>
      <c r="L3" s="11"/>
      <c r="M3" s="144" t="s">
        <v>601</v>
      </c>
      <c r="N3" s="6"/>
      <c r="O3" s="11"/>
      <c r="P3" s="11"/>
      <c r="Q3" s="11"/>
      <c r="R3" s="11"/>
      <c r="S3" s="11"/>
      <c r="T3" s="126" t="s">
        <v>546</v>
      </c>
      <c r="U3" s="306" t="str">
        <f>K3</f>
        <v>DD.MM.YYYY</v>
      </c>
      <c r="V3" s="11"/>
    </row>
    <row r="4" spans="1:31" ht="20.100000000000001" customHeight="1">
      <c r="A4" s="6"/>
      <c r="B4" s="11"/>
      <c r="C4" s="6"/>
      <c r="E4" s="145" t="s">
        <v>54</v>
      </c>
      <c r="H4" s="11"/>
      <c r="I4" s="85"/>
      <c r="J4" s="48"/>
      <c r="K4" s="116"/>
      <c r="L4" s="11"/>
      <c r="M4" s="145" t="s">
        <v>54</v>
      </c>
      <c r="N4" s="11"/>
      <c r="O4" s="11"/>
      <c r="P4" s="11"/>
      <c r="Q4" s="11"/>
      <c r="R4" s="11"/>
      <c r="S4" s="11"/>
      <c r="T4" s="11"/>
      <c r="U4" s="11"/>
      <c r="V4" s="11"/>
    </row>
    <row r="5" spans="1:31" ht="20.100000000000001" customHeight="1">
      <c r="A5" s="6"/>
      <c r="B5" s="11"/>
      <c r="C5" s="6"/>
      <c r="E5" s="146" t="s">
        <v>137</v>
      </c>
      <c r="F5" s="11"/>
      <c r="G5" s="11"/>
      <c r="H5" s="11"/>
      <c r="I5" s="11"/>
      <c r="J5" s="11"/>
      <c r="K5" s="11"/>
      <c r="L5" s="11"/>
      <c r="M5" s="146" t="s">
        <v>137</v>
      </c>
      <c r="N5" s="11"/>
      <c r="O5" s="11"/>
      <c r="P5" s="11"/>
      <c r="Q5" s="11"/>
      <c r="R5" s="11"/>
      <c r="S5" s="11"/>
      <c r="T5" s="11"/>
      <c r="U5" s="11"/>
      <c r="V5" s="11"/>
    </row>
    <row r="6" spans="1:31" ht="20.100000000000001" customHeight="1">
      <c r="A6" s="6"/>
      <c r="B6" s="11"/>
      <c r="C6" s="6"/>
      <c r="D6" s="6"/>
      <c r="E6" s="4" t="s">
        <v>6</v>
      </c>
      <c r="M6" s="4" t="s">
        <v>6</v>
      </c>
    </row>
    <row r="7" spans="1:31" ht="20.100000000000001" customHeight="1">
      <c r="A7" s="8"/>
      <c r="B7" s="11"/>
      <c r="C7" s="8"/>
      <c r="D7" s="8"/>
      <c r="F7" s="11"/>
      <c r="G7" s="11"/>
      <c r="H7" s="11"/>
      <c r="I7" s="11"/>
      <c r="J7" s="49"/>
      <c r="K7" s="49"/>
      <c r="L7" s="11"/>
      <c r="N7" s="49"/>
      <c r="O7" s="11"/>
      <c r="P7" s="11"/>
      <c r="Q7" s="11"/>
      <c r="R7" s="11"/>
      <c r="S7" s="11"/>
      <c r="T7" s="11"/>
      <c r="U7" s="11"/>
      <c r="V7" s="49"/>
    </row>
    <row r="8" spans="1:31" ht="14.25" customHeight="1">
      <c r="A8" s="161"/>
      <c r="B8" s="41"/>
      <c r="C8" s="151"/>
      <c r="D8" s="28" t="s">
        <v>8</v>
      </c>
      <c r="E8" s="28" t="s">
        <v>15</v>
      </c>
      <c r="F8" s="47" t="s">
        <v>19</v>
      </c>
      <c r="G8" s="34" t="s">
        <v>55</v>
      </c>
      <c r="H8" s="42"/>
      <c r="I8" s="42"/>
      <c r="J8" s="62"/>
      <c r="K8" s="35" t="s">
        <v>19</v>
      </c>
      <c r="L8" s="42" t="s">
        <v>26</v>
      </c>
      <c r="M8" s="38"/>
      <c r="N8" s="38"/>
      <c r="O8" s="38"/>
      <c r="P8" s="35"/>
      <c r="Q8" s="30" t="s">
        <v>33</v>
      </c>
      <c r="R8" s="30" t="s">
        <v>37</v>
      </c>
      <c r="S8" s="30" t="s">
        <v>42</v>
      </c>
      <c r="T8" s="46" t="s">
        <v>44</v>
      </c>
      <c r="U8" s="30" t="s">
        <v>13</v>
      </c>
      <c r="V8" s="151"/>
      <c r="W8" s="22"/>
      <c r="X8" s="22"/>
      <c r="Y8" s="6"/>
      <c r="Z8" s="6"/>
    </row>
    <row r="9" spans="1:31" ht="14.25" customHeight="1">
      <c r="A9" s="162"/>
      <c r="B9" s="12"/>
      <c r="C9" s="152"/>
      <c r="D9" s="29" t="s">
        <v>9</v>
      </c>
      <c r="E9" s="29" t="s">
        <v>16</v>
      </c>
      <c r="F9" s="44" t="s">
        <v>20</v>
      </c>
      <c r="G9" s="63" t="s">
        <v>56</v>
      </c>
      <c r="H9" s="64"/>
      <c r="I9" s="64"/>
      <c r="J9" s="43"/>
      <c r="K9" s="43" t="s">
        <v>20</v>
      </c>
      <c r="L9" s="33"/>
      <c r="M9" s="33"/>
      <c r="N9" s="33"/>
      <c r="O9" s="40"/>
      <c r="P9" s="37"/>
      <c r="Q9" s="32" t="s">
        <v>34</v>
      </c>
      <c r="R9" s="32" t="s">
        <v>38</v>
      </c>
      <c r="S9" s="32" t="s">
        <v>43</v>
      </c>
      <c r="T9" s="29" t="s">
        <v>45</v>
      </c>
      <c r="U9" s="29" t="s">
        <v>14</v>
      </c>
      <c r="V9" s="152"/>
      <c r="W9" s="22"/>
      <c r="X9" s="22"/>
      <c r="Y9" s="6"/>
      <c r="Z9" s="6"/>
    </row>
    <row r="10" spans="1:31" ht="14.25" customHeight="1">
      <c r="A10" s="162"/>
      <c r="B10" s="12"/>
      <c r="C10" s="152"/>
      <c r="D10" s="29" t="s">
        <v>7</v>
      </c>
      <c r="E10" s="29" t="s">
        <v>17</v>
      </c>
      <c r="F10" s="44" t="s">
        <v>21</v>
      </c>
      <c r="G10" s="63"/>
      <c r="H10" s="65"/>
      <c r="I10" s="65"/>
      <c r="J10" s="66"/>
      <c r="K10" s="43" t="s">
        <v>24</v>
      </c>
      <c r="L10" s="42" t="s">
        <v>27</v>
      </c>
      <c r="M10" s="35"/>
      <c r="N10" s="43" t="s">
        <v>30</v>
      </c>
      <c r="O10" s="34" t="s">
        <v>11</v>
      </c>
      <c r="P10" s="35"/>
      <c r="Q10" s="32" t="s">
        <v>35</v>
      </c>
      <c r="R10" s="32" t="s">
        <v>39</v>
      </c>
      <c r="S10" s="32" t="s">
        <v>119</v>
      </c>
      <c r="T10" s="32"/>
      <c r="U10" s="32" t="s">
        <v>58</v>
      </c>
      <c r="V10" s="152"/>
      <c r="W10" s="22"/>
      <c r="X10" s="22"/>
      <c r="Y10" s="6"/>
      <c r="Z10" s="6"/>
    </row>
    <row r="11" spans="1:31" ht="14.25" customHeight="1">
      <c r="A11" s="162"/>
      <c r="B11" s="12"/>
      <c r="C11" s="152"/>
      <c r="D11" s="29"/>
      <c r="E11" s="29" t="s">
        <v>18</v>
      </c>
      <c r="F11" s="44" t="s">
        <v>22</v>
      </c>
      <c r="G11" s="36"/>
      <c r="H11" s="40"/>
      <c r="I11" s="45"/>
      <c r="J11" s="37"/>
      <c r="K11" s="43" t="s">
        <v>25</v>
      </c>
      <c r="L11" s="45" t="s">
        <v>28</v>
      </c>
      <c r="M11" s="37"/>
      <c r="N11" s="37" t="s">
        <v>12</v>
      </c>
      <c r="O11" s="39" t="s">
        <v>10</v>
      </c>
      <c r="P11" s="37"/>
      <c r="Q11" s="32" t="s">
        <v>36</v>
      </c>
      <c r="R11" s="32" t="s">
        <v>40</v>
      </c>
      <c r="T11" s="32"/>
      <c r="U11" s="32" t="s">
        <v>162</v>
      </c>
      <c r="V11" s="152"/>
      <c r="W11" s="22"/>
      <c r="X11" s="22"/>
      <c r="Y11" s="6"/>
      <c r="Z11" s="6"/>
    </row>
    <row r="12" spans="1:31" ht="68.25" customHeight="1">
      <c r="A12" s="6"/>
      <c r="B12" s="6"/>
      <c r="C12" s="152"/>
      <c r="D12" s="32"/>
      <c r="E12" s="32" t="s">
        <v>160</v>
      </c>
      <c r="F12" s="44" t="s">
        <v>23</v>
      </c>
      <c r="G12" s="174" t="s">
        <v>5</v>
      </c>
      <c r="H12" s="175">
        <v>0.2</v>
      </c>
      <c r="I12" s="176">
        <v>0.5</v>
      </c>
      <c r="J12" s="175">
        <v>1</v>
      </c>
      <c r="K12" s="43" t="s">
        <v>60</v>
      </c>
      <c r="L12" s="177" t="s">
        <v>1</v>
      </c>
      <c r="M12" s="178" t="s">
        <v>29</v>
      </c>
      <c r="N12" s="178" t="s">
        <v>31</v>
      </c>
      <c r="O12" s="32" t="s">
        <v>161</v>
      </c>
      <c r="P12" s="32" t="s">
        <v>32</v>
      </c>
      <c r="Q12" s="32" t="s">
        <v>57</v>
      </c>
      <c r="R12" s="32" t="s">
        <v>41</v>
      </c>
      <c r="S12" s="32"/>
      <c r="T12" s="32"/>
      <c r="U12" s="32"/>
      <c r="V12" s="152"/>
      <c r="W12" s="9"/>
      <c r="X12" s="9"/>
      <c r="Y12" s="9"/>
      <c r="Z12" s="9"/>
    </row>
    <row r="13" spans="1:31" ht="20.100000000000001" customHeight="1">
      <c r="A13" s="11"/>
      <c r="B13" s="49"/>
      <c r="C13" s="153"/>
      <c r="D13" s="179" t="s">
        <v>95</v>
      </c>
      <c r="E13" s="179" t="s">
        <v>96</v>
      </c>
      <c r="F13" s="179" t="s">
        <v>97</v>
      </c>
      <c r="G13" s="179" t="s">
        <v>98</v>
      </c>
      <c r="H13" s="179" t="s">
        <v>99</v>
      </c>
      <c r="I13" s="179" t="s">
        <v>100</v>
      </c>
      <c r="J13" s="179" t="s">
        <v>101</v>
      </c>
      <c r="K13" s="179" t="s">
        <v>102</v>
      </c>
      <c r="L13" s="179" t="s">
        <v>103</v>
      </c>
      <c r="M13" s="179" t="s">
        <v>104</v>
      </c>
      <c r="N13" s="179" t="s">
        <v>105</v>
      </c>
      <c r="O13" s="179" t="s">
        <v>106</v>
      </c>
      <c r="P13" s="179" t="s">
        <v>107</v>
      </c>
      <c r="Q13" s="179" t="s">
        <v>108</v>
      </c>
      <c r="R13" s="179" t="s">
        <v>109</v>
      </c>
      <c r="S13" s="179" t="s">
        <v>110</v>
      </c>
      <c r="T13" s="179" t="s">
        <v>111</v>
      </c>
      <c r="U13" s="179" t="s">
        <v>112</v>
      </c>
      <c r="V13" s="153"/>
      <c r="X13" s="6" t="s">
        <v>131</v>
      </c>
      <c r="Y13" s="6" t="s">
        <v>132</v>
      </c>
      <c r="Z13" s="6" t="s">
        <v>133</v>
      </c>
      <c r="AA13" s="6" t="s">
        <v>113</v>
      </c>
      <c r="AB13" s="6" t="s">
        <v>114</v>
      </c>
      <c r="AC13" s="6" t="s">
        <v>117</v>
      </c>
      <c r="AD13" s="6" t="s">
        <v>115</v>
      </c>
      <c r="AE13" s="6" t="s">
        <v>118</v>
      </c>
    </row>
    <row r="14" spans="1:31" ht="20.100000000000001" customHeight="1" thickBot="1">
      <c r="A14" s="185"/>
      <c r="B14" s="154" t="s">
        <v>2</v>
      </c>
      <c r="C14" s="114">
        <v>1</v>
      </c>
      <c r="D14" s="27">
        <f>SUM(D19:D21,D23:D24,D26,D28,D32,D34)</f>
        <v>0</v>
      </c>
      <c r="E14" s="279">
        <f>SUM(E19:E21,E23:E24,E26,E28,E32,E34)</f>
        <v>0</v>
      </c>
      <c r="F14" s="27">
        <f>D14+E14</f>
        <v>0</v>
      </c>
      <c r="G14" s="279">
        <f>SUM(G19:G21,G23:G24,G26,G28,G32,G34)</f>
        <v>0</v>
      </c>
      <c r="H14" s="279">
        <f>SUM(H19:H21,H23:H24,H26,H28,H32,H34)</f>
        <v>0</v>
      </c>
      <c r="I14" s="279">
        <f>SUM(I19:I21,I23:I24,I26,I28,I32,I34)</f>
        <v>0</v>
      </c>
      <c r="J14" s="279">
        <f>SUM(J19:J21,J23:J24,J26,J28,J32,J34)</f>
        <v>0</v>
      </c>
      <c r="K14" s="51">
        <f>F14-G14-0.8*H14-0.5*I14</f>
        <v>0</v>
      </c>
      <c r="L14" s="50"/>
      <c r="M14" s="14"/>
      <c r="N14" s="25"/>
      <c r="O14" s="27">
        <f>(L14+M14+N14)*-1</f>
        <v>0</v>
      </c>
      <c r="P14" s="14"/>
      <c r="Q14" s="279">
        <f>SUM(Q19:Q21,Q23:Q24,Q26,Q28,Q32,Q34)</f>
        <v>0</v>
      </c>
      <c r="R14" s="14"/>
      <c r="S14" s="279">
        <f>SUM(S19:S21,S23:S24,S26,S28,S32,S34)</f>
        <v>0</v>
      </c>
      <c r="T14" s="279">
        <f>SUM(T19:T21,T23:T24,T26,T28,T32,T34)</f>
        <v>0</v>
      </c>
      <c r="U14" s="27">
        <f>T14*0.08</f>
        <v>0</v>
      </c>
      <c r="V14" s="114">
        <v>1</v>
      </c>
      <c r="W14" s="15"/>
      <c r="X14" s="180" t="str">
        <f>IF(D14&gt;=0,"OK","ERROR")</f>
        <v>OK</v>
      </c>
      <c r="Y14" s="180" t="str">
        <f>IF(E14&lt;=0,"OK","ERROR")</f>
        <v>OK</v>
      </c>
      <c r="Z14" s="180" t="str">
        <f>IF(MIN(F14:N14)&gt;=0,"OK","ERROR")</f>
        <v>OK</v>
      </c>
      <c r="AA14" s="180" t="str">
        <f>IF(O14&lt;=0,"OK","ERROR")</f>
        <v>OK</v>
      </c>
      <c r="AB14" s="180" t="str">
        <f>IF(P14&gt;=0,"OK","ERROR")</f>
        <v>OK</v>
      </c>
      <c r="AC14" s="180" t="str">
        <f>IF(Q14&gt;=0,"OK","ERROR")</f>
        <v>OK</v>
      </c>
      <c r="AD14" s="180" t="str">
        <f>IF(R14&lt;=0,"OK","ERROR")</f>
        <v>OK</v>
      </c>
      <c r="AE14" s="180" t="str">
        <f>IF(MIN(S14:U14)&gt;=0,"OK","ERROR")</f>
        <v>OK</v>
      </c>
    </row>
    <row r="15" spans="1:31" ht="30" customHeight="1" thickTop="1">
      <c r="A15" s="163"/>
      <c r="B15" s="155" t="s">
        <v>116</v>
      </c>
      <c r="C15" s="114"/>
      <c r="D15" s="143"/>
      <c r="E15" s="143"/>
      <c r="F15" s="143"/>
      <c r="G15" s="143"/>
      <c r="H15" s="143"/>
      <c r="I15" s="143"/>
      <c r="J15" s="143"/>
      <c r="K15" s="143"/>
      <c r="L15" s="143"/>
      <c r="M15" s="143"/>
      <c r="N15" s="143"/>
      <c r="O15" s="143"/>
      <c r="P15" s="143"/>
      <c r="Q15" s="143"/>
      <c r="R15" s="143"/>
      <c r="S15" s="143"/>
      <c r="T15" s="143"/>
      <c r="U15" s="143"/>
      <c r="V15" s="114"/>
      <c r="W15" s="147"/>
      <c r="X15" s="148"/>
      <c r="Y15" s="148"/>
      <c r="Z15" s="148"/>
      <c r="AA15" s="6"/>
      <c r="AB15" s="139"/>
      <c r="AC15" s="6"/>
      <c r="AD15" s="6"/>
      <c r="AE15" s="140"/>
    </row>
    <row r="16" spans="1:31" ht="20.100000000000001" customHeight="1" thickBot="1">
      <c r="A16" s="163"/>
      <c r="B16" s="156" t="s">
        <v>3</v>
      </c>
      <c r="C16" s="114">
        <v>2</v>
      </c>
      <c r="D16" s="14"/>
      <c r="E16" s="14"/>
      <c r="F16" s="27">
        <f>D16+E16</f>
        <v>0</v>
      </c>
      <c r="G16" s="13"/>
      <c r="H16" s="13"/>
      <c r="I16" s="13"/>
      <c r="J16" s="26"/>
      <c r="K16" s="52">
        <f>F16</f>
        <v>0</v>
      </c>
      <c r="L16" s="23"/>
      <c r="M16" s="13"/>
      <c r="N16" s="13"/>
      <c r="O16" s="13"/>
      <c r="P16" s="13"/>
      <c r="Q16" s="14"/>
      <c r="R16" s="13"/>
      <c r="S16" s="14"/>
      <c r="T16" s="14"/>
      <c r="U16" s="27">
        <f>T16*0.08</f>
        <v>0</v>
      </c>
      <c r="V16" s="114">
        <v>2</v>
      </c>
      <c r="W16" s="15"/>
      <c r="X16" s="115" t="str">
        <f>IF(D16&gt;=0,"OK","ERROR")</f>
        <v>OK</v>
      </c>
      <c r="Y16" s="115" t="str">
        <f>IF(E16&lt;=0,"OK","ERROR")</f>
        <v>OK</v>
      </c>
      <c r="Z16" s="115" t="str">
        <f>IF(MIN(F16:N16)&gt;=0,"OK","ERROR")</f>
        <v>OK</v>
      </c>
      <c r="AA16" s="6"/>
      <c r="AB16" s="6"/>
      <c r="AC16" s="115" t="str">
        <f>IF(Q16&gt;=0,"OK","ERROR")</f>
        <v>OK</v>
      </c>
      <c r="AD16" s="6"/>
      <c r="AE16" s="115" t="str">
        <f>IF(MIN(S16:U16)&gt;=0,"OK","ERROR")</f>
        <v>OK</v>
      </c>
    </row>
    <row r="17" spans="1:32" ht="20.100000000000001" customHeight="1" thickTop="1" thickBot="1">
      <c r="A17" s="163"/>
      <c r="B17" s="156" t="s">
        <v>4</v>
      </c>
      <c r="C17" s="114">
        <v>3</v>
      </c>
      <c r="D17" s="14"/>
      <c r="E17" s="14"/>
      <c r="F17" s="27">
        <f>D17+E17</f>
        <v>0</v>
      </c>
      <c r="G17" s="14"/>
      <c r="H17" s="14"/>
      <c r="I17" s="14"/>
      <c r="J17" s="25"/>
      <c r="K17" s="52">
        <f>F17-G17-0.8*H17-0.5*I17</f>
        <v>0</v>
      </c>
      <c r="L17" s="23"/>
      <c r="M17" s="13"/>
      <c r="N17" s="13"/>
      <c r="O17" s="13"/>
      <c r="P17" s="13"/>
      <c r="Q17" s="14"/>
      <c r="R17" s="13"/>
      <c r="S17" s="14"/>
      <c r="T17" s="14"/>
      <c r="U17" s="27">
        <f>T17*0.08</f>
        <v>0</v>
      </c>
      <c r="V17" s="114">
        <v>3</v>
      </c>
      <c r="W17" s="15"/>
      <c r="X17" s="115" t="str">
        <f>IF(D17&gt;=0,"OK","ERROR")</f>
        <v>OK</v>
      </c>
      <c r="Y17" s="115" t="str">
        <f>IF(E17&lt;=0,"OK","ERROR")</f>
        <v>OK</v>
      </c>
      <c r="Z17" s="115" t="str">
        <f>IF(MIN(F17:N17)&gt;=0,"OK","ERROR")</f>
        <v>OK</v>
      </c>
      <c r="AA17" s="6"/>
      <c r="AB17" s="6"/>
      <c r="AC17" s="115" t="str">
        <f>IF(Q17&gt;=0,"OK","ERROR")</f>
        <v>OK</v>
      </c>
      <c r="AD17" s="6"/>
      <c r="AE17" s="115" t="str">
        <f>IF(MIN(S17:U17)&gt;=0,"OK","ERROR")</f>
        <v>OK</v>
      </c>
    </row>
    <row r="18" spans="1:32" ht="44.25" customHeight="1" thickTop="1">
      <c r="A18" s="163"/>
      <c r="B18" s="155" t="s">
        <v>47</v>
      </c>
      <c r="C18" s="114"/>
      <c r="D18" s="143"/>
      <c r="E18" s="143"/>
      <c r="F18" s="143"/>
      <c r="G18" s="143"/>
      <c r="H18" s="143"/>
      <c r="I18" s="143"/>
      <c r="J18" s="143"/>
      <c r="K18" s="143"/>
      <c r="L18" s="143"/>
      <c r="M18" s="143"/>
      <c r="N18" s="143"/>
      <c r="O18" s="143"/>
      <c r="P18" s="143"/>
      <c r="Q18" s="143"/>
      <c r="R18" s="143"/>
      <c r="S18" s="143"/>
      <c r="T18" s="143"/>
      <c r="U18" s="143"/>
      <c r="V18" s="114"/>
      <c r="W18" s="147"/>
      <c r="X18" s="149"/>
      <c r="Y18" s="142"/>
      <c r="Z18" s="150"/>
      <c r="AA18" s="6"/>
      <c r="AB18" s="6"/>
      <c r="AC18" s="6"/>
      <c r="AD18" s="6"/>
      <c r="AE18" s="6"/>
      <c r="AF18" s="6"/>
    </row>
    <row r="19" spans="1:32" ht="20.100000000000001" customHeight="1" thickBot="1">
      <c r="A19" s="163"/>
      <c r="B19" s="157" t="s">
        <v>5</v>
      </c>
      <c r="C19" s="114">
        <v>4</v>
      </c>
      <c r="D19" s="14"/>
      <c r="E19" s="14"/>
      <c r="F19" s="27">
        <f t="shared" ref="F19:F34" si="0">D19+E19</f>
        <v>0</v>
      </c>
      <c r="G19" s="14"/>
      <c r="H19" s="14"/>
      <c r="I19" s="14"/>
      <c r="J19" s="25"/>
      <c r="K19" s="52">
        <f t="shared" ref="K19:K34" si="1">F19-G19-0.8*H19-0.5*I19</f>
        <v>0</v>
      </c>
      <c r="L19" s="23"/>
      <c r="M19" s="13"/>
      <c r="N19" s="13"/>
      <c r="O19" s="13"/>
      <c r="P19" s="13"/>
      <c r="Q19" s="14"/>
      <c r="R19" s="13"/>
      <c r="S19" s="14"/>
      <c r="T19" s="13"/>
      <c r="U19" s="13"/>
      <c r="V19" s="114">
        <v>4</v>
      </c>
      <c r="W19" s="15"/>
      <c r="X19" s="115" t="str">
        <f t="shared" ref="X19:X34" si="2">IF(D19&gt;=0,"OK","ERROR")</f>
        <v>OK</v>
      </c>
      <c r="Y19" s="115" t="str">
        <f t="shared" ref="Y19:Y34" si="3">IF(E19&lt;=0,"OK","ERROR")</f>
        <v>OK</v>
      </c>
      <c r="Z19" s="115" t="str">
        <f t="shared" ref="Z19:Z34" si="4">IF(MIN(F19:N19)&gt;=0,"OK","ERROR")</f>
        <v>OK</v>
      </c>
      <c r="AA19" s="6"/>
      <c r="AB19" s="6"/>
      <c r="AC19" s="115" t="str">
        <f t="shared" ref="AC19:AC34" si="5">IF(Q19&gt;=0,"OK","ERROR")</f>
        <v>OK</v>
      </c>
      <c r="AD19" s="6"/>
      <c r="AE19" s="115" t="str">
        <f t="shared" ref="AE19:AE34" si="6">IF(MIN(S19:U19)&gt;=0,"OK","ERROR")</f>
        <v>OK</v>
      </c>
    </row>
    <row r="20" spans="1:32" ht="20.100000000000001" customHeight="1" thickTop="1" thickBot="1">
      <c r="A20" s="163"/>
      <c r="B20" s="158">
        <v>0.1</v>
      </c>
      <c r="C20" s="280">
        <v>19</v>
      </c>
      <c r="D20" s="14"/>
      <c r="E20" s="14"/>
      <c r="F20" s="279">
        <f t="shared" si="0"/>
        <v>0</v>
      </c>
      <c r="G20" s="14"/>
      <c r="H20" s="14"/>
      <c r="I20" s="14"/>
      <c r="J20" s="25"/>
      <c r="K20" s="52">
        <f t="shared" si="1"/>
        <v>0</v>
      </c>
      <c r="L20" s="23"/>
      <c r="M20" s="13"/>
      <c r="N20" s="13"/>
      <c r="O20" s="13"/>
      <c r="P20" s="13"/>
      <c r="Q20" s="14"/>
      <c r="R20" s="13"/>
      <c r="S20" s="14"/>
      <c r="T20" s="279">
        <f>S20*0.1</f>
        <v>0</v>
      </c>
      <c r="U20" s="279">
        <f>T20*0.08</f>
        <v>0</v>
      </c>
      <c r="V20" s="280">
        <v>19</v>
      </c>
      <c r="W20" s="15"/>
      <c r="X20" s="115" t="str">
        <f>IF(D20&gt;=0,"OK","ERROR")</f>
        <v>OK</v>
      </c>
      <c r="Y20" s="115" t="str">
        <f>IF(E20&lt;=0,"OK","ERROR")</f>
        <v>OK</v>
      </c>
      <c r="Z20" s="115" t="str">
        <f>IF(MIN(F20:N20)&gt;=0,"OK","ERROR")</f>
        <v>OK</v>
      </c>
      <c r="AA20" s="6"/>
      <c r="AB20" s="6"/>
      <c r="AC20" s="115" t="str">
        <f t="shared" si="5"/>
        <v>OK</v>
      </c>
      <c r="AD20" s="6"/>
      <c r="AE20" s="115" t="str">
        <f t="shared" si="6"/>
        <v>OK</v>
      </c>
    </row>
    <row r="21" spans="1:32" ht="20.100000000000001" customHeight="1" thickTop="1" thickBot="1">
      <c r="A21" s="163"/>
      <c r="B21" s="158" t="s">
        <v>59</v>
      </c>
      <c r="C21" s="114">
        <v>5</v>
      </c>
      <c r="D21" s="14"/>
      <c r="E21" s="14"/>
      <c r="F21" s="27">
        <f t="shared" si="0"/>
        <v>0</v>
      </c>
      <c r="G21" s="14"/>
      <c r="H21" s="14"/>
      <c r="I21" s="14"/>
      <c r="J21" s="25"/>
      <c r="K21" s="52">
        <f t="shared" si="1"/>
        <v>0</v>
      </c>
      <c r="L21" s="23"/>
      <c r="M21" s="13"/>
      <c r="N21" s="13"/>
      <c r="O21" s="13"/>
      <c r="P21" s="13"/>
      <c r="Q21" s="14"/>
      <c r="R21" s="13"/>
      <c r="S21" s="14"/>
      <c r="T21" s="27">
        <f>S21*0.2</f>
        <v>0</v>
      </c>
      <c r="U21" s="27">
        <f t="shared" ref="U21:U34" si="7">T21*0.08</f>
        <v>0</v>
      </c>
      <c r="V21" s="114">
        <v>5</v>
      </c>
      <c r="W21" s="15"/>
      <c r="X21" s="115" t="str">
        <f t="shared" si="2"/>
        <v>OK</v>
      </c>
      <c r="Y21" s="115" t="str">
        <f t="shared" si="3"/>
        <v>OK</v>
      </c>
      <c r="Z21" s="115" t="str">
        <f t="shared" si="4"/>
        <v>OK</v>
      </c>
      <c r="AA21" s="6"/>
      <c r="AB21" s="6"/>
      <c r="AC21" s="115" t="str">
        <f t="shared" si="5"/>
        <v>OK</v>
      </c>
      <c r="AD21" s="6"/>
      <c r="AE21" s="115" t="str">
        <f t="shared" si="6"/>
        <v>OK</v>
      </c>
    </row>
    <row r="22" spans="1:32" ht="20.100000000000001" customHeight="1" thickTop="1" thickBot="1">
      <c r="A22" s="164"/>
      <c r="B22" s="158" t="s">
        <v>50</v>
      </c>
      <c r="C22" s="114">
        <v>6</v>
      </c>
      <c r="D22" s="14"/>
      <c r="E22" s="14"/>
      <c r="F22" s="27">
        <f t="shared" si="0"/>
        <v>0</v>
      </c>
      <c r="G22" s="14"/>
      <c r="H22" s="14"/>
      <c r="I22" s="14"/>
      <c r="J22" s="25"/>
      <c r="K22" s="52">
        <f t="shared" si="1"/>
        <v>0</v>
      </c>
      <c r="L22" s="23"/>
      <c r="M22" s="13"/>
      <c r="N22" s="13"/>
      <c r="O22" s="13"/>
      <c r="P22" s="13"/>
      <c r="Q22" s="14"/>
      <c r="R22" s="13"/>
      <c r="S22" s="14"/>
      <c r="T22" s="27">
        <f>S22*0.2</f>
        <v>0</v>
      </c>
      <c r="U22" s="27">
        <f t="shared" si="7"/>
        <v>0</v>
      </c>
      <c r="V22" s="114">
        <v>6</v>
      </c>
      <c r="W22" s="15"/>
      <c r="X22" s="115" t="str">
        <f t="shared" si="2"/>
        <v>OK</v>
      </c>
      <c r="Y22" s="115" t="str">
        <f t="shared" si="3"/>
        <v>OK</v>
      </c>
      <c r="Z22" s="115" t="str">
        <f t="shared" si="4"/>
        <v>OK</v>
      </c>
      <c r="AA22" s="6"/>
      <c r="AB22" s="6"/>
      <c r="AC22" s="115" t="str">
        <f t="shared" si="5"/>
        <v>OK</v>
      </c>
      <c r="AD22" s="6"/>
      <c r="AE22" s="115" t="str">
        <f t="shared" si="6"/>
        <v>OK</v>
      </c>
    </row>
    <row r="23" spans="1:32" ht="16.5" customHeight="1" thickTop="1" thickBot="1">
      <c r="A23" s="11"/>
      <c r="B23" s="158">
        <v>0.35</v>
      </c>
      <c r="C23" s="114">
        <v>7</v>
      </c>
      <c r="D23" s="14"/>
      <c r="E23" s="14"/>
      <c r="F23" s="27">
        <f t="shared" si="0"/>
        <v>0</v>
      </c>
      <c r="G23" s="14"/>
      <c r="H23" s="14"/>
      <c r="I23" s="14"/>
      <c r="J23" s="25"/>
      <c r="K23" s="52">
        <f t="shared" si="1"/>
        <v>0</v>
      </c>
      <c r="L23" s="23"/>
      <c r="M23" s="13"/>
      <c r="N23" s="13"/>
      <c r="O23" s="13"/>
      <c r="P23" s="13"/>
      <c r="Q23" s="14"/>
      <c r="R23" s="13"/>
      <c r="S23" s="14"/>
      <c r="T23" s="27">
        <f>S23*0.35</f>
        <v>0</v>
      </c>
      <c r="U23" s="27">
        <f t="shared" si="7"/>
        <v>0</v>
      </c>
      <c r="V23" s="114">
        <v>7</v>
      </c>
      <c r="W23" s="15"/>
      <c r="X23" s="115" t="str">
        <f t="shared" si="2"/>
        <v>OK</v>
      </c>
      <c r="Y23" s="115" t="str">
        <f t="shared" si="3"/>
        <v>OK</v>
      </c>
      <c r="Z23" s="115" t="str">
        <f t="shared" si="4"/>
        <v>OK</v>
      </c>
      <c r="AA23" s="6"/>
      <c r="AB23" s="6"/>
      <c r="AC23" s="115" t="str">
        <f t="shared" si="5"/>
        <v>OK</v>
      </c>
      <c r="AD23" s="6"/>
      <c r="AE23" s="115" t="str">
        <f t="shared" si="6"/>
        <v>OK</v>
      </c>
    </row>
    <row r="24" spans="1:32" ht="20.100000000000001" customHeight="1" thickTop="1" thickBot="1">
      <c r="A24" s="163"/>
      <c r="B24" s="158" t="s">
        <v>48</v>
      </c>
      <c r="C24" s="114">
        <v>8</v>
      </c>
      <c r="D24" s="14"/>
      <c r="E24" s="14"/>
      <c r="F24" s="27">
        <f t="shared" si="0"/>
        <v>0</v>
      </c>
      <c r="G24" s="14"/>
      <c r="H24" s="14"/>
      <c r="I24" s="14"/>
      <c r="J24" s="25"/>
      <c r="K24" s="52">
        <f t="shared" si="1"/>
        <v>0</v>
      </c>
      <c r="L24" s="23"/>
      <c r="M24" s="13"/>
      <c r="N24" s="13"/>
      <c r="O24" s="13"/>
      <c r="P24" s="13"/>
      <c r="Q24" s="14"/>
      <c r="R24" s="13"/>
      <c r="S24" s="14"/>
      <c r="T24" s="27">
        <f>S24*0.5</f>
        <v>0</v>
      </c>
      <c r="U24" s="27">
        <f t="shared" si="7"/>
        <v>0</v>
      </c>
      <c r="V24" s="114">
        <v>8</v>
      </c>
      <c r="W24" s="15"/>
      <c r="X24" s="115" t="str">
        <f t="shared" si="2"/>
        <v>OK</v>
      </c>
      <c r="Y24" s="115" t="str">
        <f t="shared" si="3"/>
        <v>OK</v>
      </c>
      <c r="Z24" s="115" t="str">
        <f t="shared" si="4"/>
        <v>OK</v>
      </c>
      <c r="AA24" s="6"/>
      <c r="AB24" s="6"/>
      <c r="AC24" s="115" t="str">
        <f t="shared" si="5"/>
        <v>OK</v>
      </c>
      <c r="AD24" s="6"/>
      <c r="AE24" s="115" t="str">
        <f t="shared" si="6"/>
        <v>OK</v>
      </c>
    </row>
    <row r="25" spans="1:32" ht="20.100000000000001" customHeight="1" thickTop="1" thickBot="1">
      <c r="A25" s="163"/>
      <c r="B25" s="158" t="s">
        <v>50</v>
      </c>
      <c r="C25" s="114">
        <v>9</v>
      </c>
      <c r="D25" s="14"/>
      <c r="E25" s="14"/>
      <c r="F25" s="27">
        <f t="shared" si="0"/>
        <v>0</v>
      </c>
      <c r="G25" s="14"/>
      <c r="H25" s="14"/>
      <c r="I25" s="14"/>
      <c r="J25" s="25"/>
      <c r="K25" s="52">
        <f t="shared" si="1"/>
        <v>0</v>
      </c>
      <c r="L25" s="23"/>
      <c r="M25" s="13"/>
      <c r="N25" s="13"/>
      <c r="O25" s="13"/>
      <c r="P25" s="13"/>
      <c r="Q25" s="14"/>
      <c r="R25" s="13"/>
      <c r="S25" s="14"/>
      <c r="T25" s="27">
        <f>S25*0.5</f>
        <v>0</v>
      </c>
      <c r="U25" s="27">
        <f t="shared" si="7"/>
        <v>0</v>
      </c>
      <c r="V25" s="114">
        <v>9</v>
      </c>
      <c r="W25" s="15"/>
      <c r="X25" s="115" t="str">
        <f t="shared" si="2"/>
        <v>OK</v>
      </c>
      <c r="Y25" s="115" t="str">
        <f t="shared" si="3"/>
        <v>OK</v>
      </c>
      <c r="Z25" s="115" t="str">
        <f t="shared" si="4"/>
        <v>OK</v>
      </c>
      <c r="AA25" s="6"/>
      <c r="AB25" s="6"/>
      <c r="AC25" s="115" t="str">
        <f t="shared" si="5"/>
        <v>OK</v>
      </c>
      <c r="AD25" s="6"/>
      <c r="AE25" s="115" t="str">
        <f t="shared" si="6"/>
        <v>OK</v>
      </c>
    </row>
    <row r="26" spans="1:32" ht="20.100000000000001" customHeight="1" thickTop="1" thickBot="1">
      <c r="A26" s="163"/>
      <c r="B26" s="158" t="s">
        <v>552</v>
      </c>
      <c r="C26" s="114">
        <v>11</v>
      </c>
      <c r="D26" s="14"/>
      <c r="E26" s="14"/>
      <c r="F26" s="27">
        <f t="shared" si="0"/>
        <v>0</v>
      </c>
      <c r="G26" s="14"/>
      <c r="H26" s="14"/>
      <c r="I26" s="14"/>
      <c r="J26" s="25"/>
      <c r="K26" s="52">
        <f t="shared" si="1"/>
        <v>0</v>
      </c>
      <c r="L26" s="23"/>
      <c r="M26" s="13"/>
      <c r="N26" s="13"/>
      <c r="O26" s="13"/>
      <c r="P26" s="13"/>
      <c r="Q26" s="14"/>
      <c r="R26" s="13"/>
      <c r="S26" s="14"/>
      <c r="T26" s="27">
        <f>S26*0.75</f>
        <v>0</v>
      </c>
      <c r="U26" s="27">
        <f t="shared" si="7"/>
        <v>0</v>
      </c>
      <c r="V26" s="114">
        <v>11</v>
      </c>
      <c r="W26" s="15"/>
      <c r="X26" s="115" t="str">
        <f t="shared" si="2"/>
        <v>OK</v>
      </c>
      <c r="Y26" s="115" t="str">
        <f t="shared" si="3"/>
        <v>OK</v>
      </c>
      <c r="Z26" s="115" t="str">
        <f t="shared" si="4"/>
        <v>OK</v>
      </c>
      <c r="AA26" s="6"/>
      <c r="AB26" s="6"/>
      <c r="AC26" s="115" t="str">
        <f t="shared" si="5"/>
        <v>OK</v>
      </c>
      <c r="AD26" s="6"/>
      <c r="AE26" s="115" t="str">
        <f t="shared" si="6"/>
        <v>OK</v>
      </c>
    </row>
    <row r="27" spans="1:32" ht="20.100000000000001" customHeight="1" thickTop="1" thickBot="1">
      <c r="A27" s="163"/>
      <c r="B27" s="159" t="s">
        <v>49</v>
      </c>
      <c r="C27" s="280">
        <v>20</v>
      </c>
      <c r="D27" s="14"/>
      <c r="E27" s="14"/>
      <c r="F27" s="279">
        <f t="shared" si="0"/>
        <v>0</v>
      </c>
      <c r="G27" s="14"/>
      <c r="H27" s="14"/>
      <c r="I27" s="14"/>
      <c r="J27" s="25"/>
      <c r="K27" s="52">
        <f t="shared" si="1"/>
        <v>0</v>
      </c>
      <c r="L27" s="23"/>
      <c r="M27" s="13"/>
      <c r="N27" s="13"/>
      <c r="O27" s="13"/>
      <c r="P27" s="13"/>
      <c r="Q27" s="14"/>
      <c r="R27" s="13"/>
      <c r="S27" s="14"/>
      <c r="T27" s="279">
        <f>S27*0.75</f>
        <v>0</v>
      </c>
      <c r="U27" s="279">
        <f t="shared" si="7"/>
        <v>0</v>
      </c>
      <c r="V27" s="280">
        <v>20</v>
      </c>
      <c r="W27" s="15"/>
      <c r="X27" s="115" t="str">
        <f>IF(D27&gt;=0,"OK","ERROR")</f>
        <v>OK</v>
      </c>
      <c r="Y27" s="115" t="str">
        <f>IF(E27&lt;=0,"OK","ERROR")</f>
        <v>OK</v>
      </c>
      <c r="Z27" s="115" t="str">
        <f>IF(MIN(F27:N27)&gt;=0,"OK","ERROR")</f>
        <v>OK</v>
      </c>
      <c r="AA27" s="6"/>
      <c r="AB27" s="6"/>
      <c r="AC27" s="115" t="str">
        <f t="shared" si="5"/>
        <v>OK</v>
      </c>
      <c r="AD27" s="6"/>
      <c r="AE27" s="115" t="str">
        <f t="shared" si="6"/>
        <v>OK</v>
      </c>
    </row>
    <row r="28" spans="1:32" ht="19.5" customHeight="1" thickTop="1" thickBot="1">
      <c r="A28" s="163"/>
      <c r="B28" s="158" t="s">
        <v>51</v>
      </c>
      <c r="C28" s="114">
        <v>12</v>
      </c>
      <c r="D28" s="14"/>
      <c r="E28" s="14"/>
      <c r="F28" s="27">
        <f t="shared" si="0"/>
        <v>0</v>
      </c>
      <c r="G28" s="14"/>
      <c r="H28" s="14"/>
      <c r="I28" s="14"/>
      <c r="J28" s="25"/>
      <c r="K28" s="52">
        <f t="shared" si="1"/>
        <v>0</v>
      </c>
      <c r="L28" s="23"/>
      <c r="M28" s="13"/>
      <c r="N28" s="13"/>
      <c r="O28" s="13"/>
      <c r="P28" s="13"/>
      <c r="Q28" s="14"/>
      <c r="R28" s="13"/>
      <c r="S28" s="14"/>
      <c r="T28" s="27">
        <f>S28*1</f>
        <v>0</v>
      </c>
      <c r="U28" s="27">
        <f t="shared" si="7"/>
        <v>0</v>
      </c>
      <c r="V28" s="114">
        <v>12</v>
      </c>
      <c r="W28" s="15"/>
      <c r="X28" s="115" t="str">
        <f t="shared" si="2"/>
        <v>OK</v>
      </c>
      <c r="Y28" s="115" t="str">
        <f t="shared" si="3"/>
        <v>OK</v>
      </c>
      <c r="Z28" s="115" t="str">
        <f t="shared" si="4"/>
        <v>OK</v>
      </c>
      <c r="AA28" s="6"/>
      <c r="AB28" s="6"/>
      <c r="AC28" s="115" t="str">
        <f t="shared" si="5"/>
        <v>OK</v>
      </c>
      <c r="AD28" s="6"/>
      <c r="AE28" s="115" t="str">
        <f t="shared" si="6"/>
        <v>OK</v>
      </c>
    </row>
    <row r="29" spans="1:32" ht="19.5" customHeight="1" thickTop="1" thickBot="1">
      <c r="A29" s="163"/>
      <c r="B29" s="158" t="s">
        <v>50</v>
      </c>
      <c r="C29" s="114">
        <v>13</v>
      </c>
      <c r="D29" s="14"/>
      <c r="E29" s="14"/>
      <c r="F29" s="27">
        <f t="shared" si="0"/>
        <v>0</v>
      </c>
      <c r="G29" s="14"/>
      <c r="H29" s="14"/>
      <c r="I29" s="14"/>
      <c r="J29" s="25"/>
      <c r="K29" s="52">
        <f t="shared" si="1"/>
        <v>0</v>
      </c>
      <c r="L29" s="23"/>
      <c r="M29" s="13"/>
      <c r="N29" s="13"/>
      <c r="O29" s="13"/>
      <c r="P29" s="13"/>
      <c r="Q29" s="14"/>
      <c r="R29" s="13"/>
      <c r="S29" s="14"/>
      <c r="T29" s="27">
        <f>S29*1</f>
        <v>0</v>
      </c>
      <c r="U29" s="27">
        <f t="shared" si="7"/>
        <v>0</v>
      </c>
      <c r="V29" s="114">
        <v>13</v>
      </c>
      <c r="W29" s="15"/>
      <c r="X29" s="115" t="str">
        <f t="shared" si="2"/>
        <v>OK</v>
      </c>
      <c r="Y29" s="115" t="str">
        <f t="shared" si="3"/>
        <v>OK</v>
      </c>
      <c r="Z29" s="115" t="str">
        <f t="shared" si="4"/>
        <v>OK</v>
      </c>
      <c r="AA29" s="6"/>
      <c r="AB29" s="6"/>
      <c r="AC29" s="115" t="str">
        <f t="shared" si="5"/>
        <v>OK</v>
      </c>
      <c r="AD29" s="6"/>
      <c r="AE29" s="115" t="str">
        <f t="shared" si="6"/>
        <v>OK</v>
      </c>
    </row>
    <row r="30" spans="1:32" ht="19.5" customHeight="1" thickTop="1" thickBot="1">
      <c r="A30" s="163"/>
      <c r="B30" s="159" t="s">
        <v>49</v>
      </c>
      <c r="C30" s="114">
        <v>14</v>
      </c>
      <c r="D30" s="14"/>
      <c r="E30" s="14"/>
      <c r="F30" s="27">
        <f t="shared" si="0"/>
        <v>0</v>
      </c>
      <c r="G30" s="14"/>
      <c r="H30" s="14"/>
      <c r="I30" s="14"/>
      <c r="J30" s="25"/>
      <c r="K30" s="52">
        <f t="shared" si="1"/>
        <v>0</v>
      </c>
      <c r="L30" s="23"/>
      <c r="M30" s="13"/>
      <c r="N30" s="13"/>
      <c r="O30" s="13"/>
      <c r="P30" s="13"/>
      <c r="Q30" s="14"/>
      <c r="R30" s="13"/>
      <c r="S30" s="14"/>
      <c r="T30" s="27">
        <f>S30*1</f>
        <v>0</v>
      </c>
      <c r="U30" s="27">
        <f t="shared" si="7"/>
        <v>0</v>
      </c>
      <c r="V30" s="114">
        <v>14</v>
      </c>
      <c r="W30" s="15"/>
      <c r="X30" s="115" t="str">
        <f t="shared" si="2"/>
        <v>OK</v>
      </c>
      <c r="Y30" s="115" t="str">
        <f t="shared" si="3"/>
        <v>OK</v>
      </c>
      <c r="Z30" s="115" t="str">
        <f t="shared" si="4"/>
        <v>OK</v>
      </c>
      <c r="AA30" s="6"/>
      <c r="AB30" s="6"/>
      <c r="AC30" s="115" t="str">
        <f t="shared" si="5"/>
        <v>OK</v>
      </c>
      <c r="AD30" s="6"/>
      <c r="AE30" s="115" t="str">
        <f t="shared" si="6"/>
        <v>OK</v>
      </c>
    </row>
    <row r="31" spans="1:32" ht="19.5" customHeight="1" thickTop="1" thickBot="1">
      <c r="A31" s="163"/>
      <c r="B31" s="158" t="s">
        <v>52</v>
      </c>
      <c r="C31" s="114">
        <v>15</v>
      </c>
      <c r="D31" s="14"/>
      <c r="E31" s="14"/>
      <c r="F31" s="27">
        <f t="shared" si="0"/>
        <v>0</v>
      </c>
      <c r="G31" s="14"/>
      <c r="H31" s="14"/>
      <c r="I31" s="14"/>
      <c r="J31" s="25"/>
      <c r="K31" s="52">
        <f t="shared" si="1"/>
        <v>0</v>
      </c>
      <c r="L31" s="23"/>
      <c r="M31" s="13"/>
      <c r="N31" s="13"/>
      <c r="O31" s="13"/>
      <c r="P31" s="13"/>
      <c r="Q31" s="14"/>
      <c r="R31" s="13"/>
      <c r="S31" s="14"/>
      <c r="T31" s="27">
        <f>S31*1</f>
        <v>0</v>
      </c>
      <c r="U31" s="27">
        <f t="shared" si="7"/>
        <v>0</v>
      </c>
      <c r="V31" s="114">
        <v>15</v>
      </c>
      <c r="W31" s="15"/>
      <c r="X31" s="115" t="str">
        <f t="shared" si="2"/>
        <v>OK</v>
      </c>
      <c r="Y31" s="115" t="str">
        <f t="shared" si="3"/>
        <v>OK</v>
      </c>
      <c r="Z31" s="115" t="str">
        <f t="shared" si="4"/>
        <v>OK</v>
      </c>
      <c r="AA31" s="6"/>
      <c r="AB31" s="6"/>
      <c r="AC31" s="115" t="str">
        <f t="shared" si="5"/>
        <v>OK</v>
      </c>
      <c r="AD31" s="6"/>
      <c r="AE31" s="115" t="str">
        <f t="shared" si="6"/>
        <v>OK</v>
      </c>
    </row>
    <row r="32" spans="1:32" ht="19.5" customHeight="1" thickTop="1" thickBot="1">
      <c r="A32" s="163"/>
      <c r="B32" s="158" t="s">
        <v>53</v>
      </c>
      <c r="C32" s="114">
        <v>16</v>
      </c>
      <c r="D32" s="14"/>
      <c r="E32" s="14"/>
      <c r="F32" s="27">
        <f t="shared" si="0"/>
        <v>0</v>
      </c>
      <c r="G32" s="14"/>
      <c r="H32" s="14"/>
      <c r="I32" s="14"/>
      <c r="J32" s="25"/>
      <c r="K32" s="52">
        <f t="shared" si="1"/>
        <v>0</v>
      </c>
      <c r="L32" s="23"/>
      <c r="M32" s="13"/>
      <c r="N32" s="13"/>
      <c r="O32" s="13"/>
      <c r="P32" s="13"/>
      <c r="Q32" s="14"/>
      <c r="R32" s="13"/>
      <c r="S32" s="14"/>
      <c r="T32" s="27">
        <f>S32*1.5</f>
        <v>0</v>
      </c>
      <c r="U32" s="27">
        <f t="shared" si="7"/>
        <v>0</v>
      </c>
      <c r="V32" s="114">
        <v>16</v>
      </c>
      <c r="W32" s="15"/>
      <c r="X32" s="115" t="str">
        <f t="shared" si="2"/>
        <v>OK</v>
      </c>
      <c r="Y32" s="115" t="str">
        <f t="shared" si="3"/>
        <v>OK</v>
      </c>
      <c r="Z32" s="115" t="str">
        <f t="shared" si="4"/>
        <v>OK</v>
      </c>
      <c r="AA32" s="6"/>
      <c r="AB32" s="6"/>
      <c r="AC32" s="115" t="str">
        <f t="shared" si="5"/>
        <v>OK</v>
      </c>
      <c r="AD32" s="6"/>
      <c r="AE32" s="115" t="str">
        <f t="shared" si="6"/>
        <v>OK</v>
      </c>
    </row>
    <row r="33" spans="1:32" ht="19.5" customHeight="1" thickTop="1" thickBot="1">
      <c r="A33" s="163"/>
      <c r="B33" s="158" t="s">
        <v>52</v>
      </c>
      <c r="C33" s="114">
        <v>17</v>
      </c>
      <c r="D33" s="14"/>
      <c r="E33" s="14"/>
      <c r="F33" s="27">
        <f t="shared" si="0"/>
        <v>0</v>
      </c>
      <c r="G33" s="14"/>
      <c r="H33" s="14"/>
      <c r="I33" s="14"/>
      <c r="J33" s="25"/>
      <c r="K33" s="52">
        <f t="shared" si="1"/>
        <v>0</v>
      </c>
      <c r="L33" s="23"/>
      <c r="M33" s="13"/>
      <c r="N33" s="13"/>
      <c r="O33" s="13"/>
      <c r="P33" s="13"/>
      <c r="Q33" s="14"/>
      <c r="R33" s="13"/>
      <c r="S33" s="14"/>
      <c r="T33" s="27">
        <f>S33*1.5</f>
        <v>0</v>
      </c>
      <c r="U33" s="27">
        <f t="shared" si="7"/>
        <v>0</v>
      </c>
      <c r="V33" s="114">
        <v>17</v>
      </c>
      <c r="W33" s="15"/>
      <c r="X33" s="115" t="str">
        <f t="shared" si="2"/>
        <v>OK</v>
      </c>
      <c r="Y33" s="115" t="str">
        <f t="shared" si="3"/>
        <v>OK</v>
      </c>
      <c r="Z33" s="115" t="str">
        <f t="shared" si="4"/>
        <v>OK</v>
      </c>
      <c r="AA33" s="6"/>
      <c r="AB33" s="6"/>
      <c r="AC33" s="115" t="str">
        <f t="shared" si="5"/>
        <v>OK</v>
      </c>
      <c r="AD33" s="6"/>
      <c r="AE33" s="115" t="str">
        <f t="shared" si="6"/>
        <v>OK</v>
      </c>
    </row>
    <row r="34" spans="1:32" ht="20.100000000000001" customHeight="1" thickTop="1" thickBot="1">
      <c r="A34" s="163"/>
      <c r="B34" s="158">
        <v>3.5</v>
      </c>
      <c r="C34" s="114">
        <v>18</v>
      </c>
      <c r="D34" s="14"/>
      <c r="E34" s="14"/>
      <c r="F34" s="27">
        <f t="shared" si="0"/>
        <v>0</v>
      </c>
      <c r="G34" s="14"/>
      <c r="H34" s="14"/>
      <c r="I34" s="14"/>
      <c r="J34" s="25"/>
      <c r="K34" s="52">
        <f t="shared" si="1"/>
        <v>0</v>
      </c>
      <c r="L34" s="23"/>
      <c r="M34" s="13"/>
      <c r="N34" s="13"/>
      <c r="O34" s="13"/>
      <c r="P34" s="13"/>
      <c r="Q34" s="14"/>
      <c r="R34" s="13"/>
      <c r="S34" s="14"/>
      <c r="T34" s="27">
        <f>S34*3.5</f>
        <v>0</v>
      </c>
      <c r="U34" s="27">
        <f t="shared" si="7"/>
        <v>0</v>
      </c>
      <c r="V34" s="114">
        <v>18</v>
      </c>
      <c r="W34" s="15"/>
      <c r="X34" s="115" t="str">
        <f t="shared" si="2"/>
        <v>OK</v>
      </c>
      <c r="Y34" s="115" t="str">
        <f t="shared" si="3"/>
        <v>OK</v>
      </c>
      <c r="Z34" s="115" t="str">
        <f t="shared" si="4"/>
        <v>OK</v>
      </c>
      <c r="AA34" s="6"/>
      <c r="AB34" s="6"/>
      <c r="AC34" s="115" t="str">
        <f t="shared" si="5"/>
        <v>OK</v>
      </c>
      <c r="AD34" s="6"/>
      <c r="AE34" s="115" t="str">
        <f t="shared" si="6"/>
        <v>OK</v>
      </c>
    </row>
    <row r="35" spans="1:32" ht="6" customHeight="1" thickTop="1">
      <c r="A35" s="165"/>
      <c r="B35" s="168"/>
      <c r="C35" s="8"/>
      <c r="D35" s="128"/>
      <c r="E35" s="128"/>
      <c r="F35" s="128"/>
      <c r="G35" s="128"/>
      <c r="H35" s="128"/>
      <c r="I35" s="128"/>
      <c r="J35" s="128"/>
      <c r="K35" s="128"/>
      <c r="L35" s="128"/>
      <c r="M35" s="128"/>
      <c r="N35" s="128"/>
      <c r="O35" s="128"/>
      <c r="P35" s="128"/>
      <c r="Q35" s="128"/>
      <c r="R35" s="128"/>
      <c r="S35" s="128"/>
      <c r="T35" s="128"/>
      <c r="U35" s="128"/>
      <c r="V35" s="8"/>
      <c r="W35" s="149"/>
      <c r="X35" s="149"/>
      <c r="Y35" s="142"/>
      <c r="Z35" s="142"/>
      <c r="AA35" s="6"/>
      <c r="AB35" s="6"/>
      <c r="AC35" s="6"/>
      <c r="AD35" s="6"/>
      <c r="AE35" s="6"/>
      <c r="AF35" s="6"/>
    </row>
    <row r="36" spans="1:32" ht="15" customHeight="1">
      <c r="A36" s="85"/>
      <c r="B36" s="21" t="str">
        <f>"Version: "&amp;D43</f>
        <v>Version: 2.01.E0</v>
      </c>
      <c r="C36" s="85"/>
      <c r="D36" s="85"/>
      <c r="E36" s="85"/>
      <c r="F36" s="85"/>
      <c r="G36" s="85"/>
      <c r="H36" s="85"/>
      <c r="I36" s="85"/>
      <c r="J36" s="85"/>
      <c r="K36" s="85"/>
      <c r="L36" s="85"/>
      <c r="M36" s="85"/>
      <c r="N36" s="85"/>
      <c r="O36" s="85"/>
      <c r="P36" s="85"/>
      <c r="Q36" s="85"/>
      <c r="R36" s="85"/>
      <c r="S36" s="85"/>
      <c r="T36" s="85"/>
      <c r="U36" s="85"/>
      <c r="V36" s="171" t="s">
        <v>157</v>
      </c>
      <c r="W36" s="15"/>
      <c r="X36" s="15"/>
      <c r="Y36" s="149"/>
      <c r="Z36" s="149"/>
      <c r="AA36" s="6"/>
      <c r="AB36" s="6"/>
      <c r="AC36" s="6"/>
      <c r="AD36" s="6"/>
      <c r="AE36" s="6"/>
      <c r="AF36" s="6"/>
    </row>
    <row r="37" spans="1:32" ht="15" customHeight="1">
      <c r="A37"/>
      <c r="B37"/>
      <c r="C37"/>
      <c r="D37"/>
      <c r="E37"/>
      <c r="F37"/>
      <c r="G37"/>
      <c r="H37"/>
      <c r="I37"/>
      <c r="J37"/>
      <c r="K37"/>
      <c r="L37"/>
      <c r="M37"/>
      <c r="N37"/>
      <c r="O37"/>
      <c r="P37"/>
      <c r="Q37"/>
      <c r="R37"/>
      <c r="S37"/>
      <c r="T37"/>
      <c r="U37"/>
      <c r="V37" s="6"/>
      <c r="W37" s="15"/>
      <c r="X37" s="15"/>
      <c r="Y37" s="15"/>
      <c r="Z37" s="15"/>
    </row>
    <row r="38" spans="1:32" ht="15" customHeight="1">
      <c r="Q38" s="57"/>
      <c r="S38" s="57"/>
      <c r="V38" s="6"/>
    </row>
    <row r="39" spans="1:32" ht="15" customHeight="1">
      <c r="Q39" s="57"/>
      <c r="S39" s="57"/>
    </row>
    <row r="40" spans="1:32" ht="15" customHeight="1">
      <c r="B40" s="3"/>
      <c r="C40" s="31" t="s">
        <v>94</v>
      </c>
      <c r="D40" s="16" t="str">
        <f>U2</f>
        <v>XXXXXX</v>
      </c>
    </row>
    <row r="41" spans="1:32" ht="15" customHeight="1">
      <c r="B41" s="5"/>
      <c r="D41" s="17" t="str">
        <f>U1</f>
        <v>CSIB_CRSABIS_06</v>
      </c>
    </row>
    <row r="42" spans="1:32" ht="15" customHeight="1">
      <c r="B42" s="5"/>
      <c r="D42" s="18" t="str">
        <f>U3</f>
        <v>DD.MM.YYYY</v>
      </c>
    </row>
    <row r="43" spans="1:32" ht="15" customHeight="1">
      <c r="B43" s="19"/>
      <c r="D43" s="20" t="s">
        <v>551</v>
      </c>
    </row>
    <row r="44" spans="1:32" ht="15" customHeight="1">
      <c r="B44" s="5"/>
      <c r="D44" s="17" t="str">
        <f>D13</f>
        <v>col. 01</v>
      </c>
    </row>
    <row r="45" spans="1:32" ht="15" customHeight="1">
      <c r="B45" s="10"/>
      <c r="C45" s="8"/>
      <c r="D45" s="59">
        <f>COUNTIF(D49:U54,"ERROR")+COUNTIF(X14:AE35,"ERROR")</f>
        <v>0</v>
      </c>
    </row>
    <row r="46" spans="1:32" ht="16.5" customHeight="1">
      <c r="B46" s="6"/>
      <c r="C46" s="7"/>
      <c r="D46" s="58"/>
    </row>
    <row r="47" spans="1:32">
      <c r="B47" s="6"/>
      <c r="C47" s="7"/>
      <c r="D47" s="56"/>
    </row>
    <row r="48" spans="1:32">
      <c r="D48" s="166" t="s">
        <v>95</v>
      </c>
      <c r="E48" s="166" t="s">
        <v>96</v>
      </c>
      <c r="F48" s="166" t="s">
        <v>97</v>
      </c>
      <c r="G48" s="166" t="s">
        <v>98</v>
      </c>
      <c r="H48" s="166" t="s">
        <v>99</v>
      </c>
      <c r="I48" s="166" t="s">
        <v>100</v>
      </c>
      <c r="J48" s="166" t="s">
        <v>101</v>
      </c>
      <c r="K48" s="166" t="s">
        <v>102</v>
      </c>
      <c r="L48" s="166" t="s">
        <v>103</v>
      </c>
      <c r="M48" s="166" t="s">
        <v>104</v>
      </c>
      <c r="N48" s="166" t="s">
        <v>105</v>
      </c>
      <c r="O48" s="166" t="s">
        <v>106</v>
      </c>
      <c r="P48" s="166" t="s">
        <v>107</v>
      </c>
      <c r="Q48" s="166" t="s">
        <v>108</v>
      </c>
      <c r="R48" s="166" t="s">
        <v>109</v>
      </c>
      <c r="S48" s="166" t="s">
        <v>110</v>
      </c>
      <c r="T48" s="166" t="s">
        <v>111</v>
      </c>
      <c r="U48" s="166" t="s">
        <v>112</v>
      </c>
      <c r="V48" s="85"/>
      <c r="W48" s="85"/>
    </row>
    <row r="49" spans="2:23">
      <c r="B49" s="53" t="s">
        <v>547</v>
      </c>
      <c r="C49" s="54"/>
      <c r="D49" s="115" t="str">
        <f>IF(ROUND(D17+D16,0)=ROUND(D14,0),"OK","ERROR")</f>
        <v>OK</v>
      </c>
      <c r="E49" s="115" t="str">
        <f>IF(ROUND(E17+E16,0)=ROUND(E14,0),"OK","ERROR")</f>
        <v>OK</v>
      </c>
      <c r="F49" s="115" t="str">
        <f>IF(ROUND(F17+F16,0)=ROUND(F14,0),"OK","ERROR")</f>
        <v>OK</v>
      </c>
      <c r="G49" s="115" t="str">
        <f>IF(ROUND(G17,0)=ROUND(G14,0),"OK","ERROR")</f>
        <v>OK</v>
      </c>
      <c r="H49" s="115" t="str">
        <f>IF(ROUND(H17,0)=ROUND(H14,0),"OK","ERROR")</f>
        <v>OK</v>
      </c>
      <c r="I49" s="115" t="str">
        <f>IF(ROUND(I17,0)=ROUND(I14,0),"OK","ERROR")</f>
        <v>OK</v>
      </c>
      <c r="J49" s="115" t="str">
        <f>IF(ROUND(J17,0)=ROUND(J14,0),"OK","ERROR")</f>
        <v>OK</v>
      </c>
      <c r="K49" s="115" t="str">
        <f>IF(AND(ROUND(K16+K17,0)=ROUND(K14,0),ROUND(K14,0)=ROUND(K19+K20+K21+K23+K24+K26+K28+K32+K34,0)),"OK","ERROR")</f>
        <v>OK</v>
      </c>
      <c r="L49" s="85"/>
      <c r="M49" s="85"/>
      <c r="N49" s="85"/>
      <c r="O49" s="85"/>
      <c r="P49" s="85"/>
      <c r="Q49" s="115" t="str">
        <f>IF(AND(ROUND(Q17+Q16,0)=ROUND(Q14,0),ROUND(K14+O14+P14,0)=ROUND(Q14,0)),"OK","ERROR")</f>
        <v>OK</v>
      </c>
      <c r="R49" s="85"/>
      <c r="S49" s="115" t="str">
        <f>IF(AND(ROUND(S17+S16,0)=ROUND(S14,0),ROUND(Q14+R14,0)=ROUND(S14,0)),"OK","ERROR")</f>
        <v>OK</v>
      </c>
      <c r="T49" s="115" t="str">
        <f>IF(ROUND(T17+T16,0)=ROUND(T14,0),"OK","ERROR")</f>
        <v>OK</v>
      </c>
      <c r="U49" s="115" t="str">
        <f>IF(ROUND(U17+U16,0)=ROUND(U14,0),"OK","ERROR")</f>
        <v>OK</v>
      </c>
      <c r="V49" s="85"/>
      <c r="W49" s="85"/>
    </row>
    <row r="50" spans="2:23">
      <c r="B50" s="53" t="s">
        <v>548</v>
      </c>
      <c r="C50" s="55"/>
      <c r="D50" s="115" t="str">
        <f>IF(ROUND(D22,0)&lt;=ROUND(D21,0),"OK","ERROR")</f>
        <v>OK</v>
      </c>
      <c r="E50" s="115" t="str">
        <f>IF(ROUND(E22,0)&gt;=ROUND(E21,0),"OK","ERROR")</f>
        <v>OK</v>
      </c>
      <c r="F50" s="115" t="str">
        <f t="shared" ref="F50:K50" si="8">IF(ROUND(F22,0)&lt;=ROUND(F21,0),"OK","ERROR")</f>
        <v>OK</v>
      </c>
      <c r="G50" s="115" t="str">
        <f t="shared" si="8"/>
        <v>OK</v>
      </c>
      <c r="H50" s="115" t="str">
        <f t="shared" si="8"/>
        <v>OK</v>
      </c>
      <c r="I50" s="115" t="str">
        <f t="shared" si="8"/>
        <v>OK</v>
      </c>
      <c r="J50" s="115" t="str">
        <f t="shared" si="8"/>
        <v>OK</v>
      </c>
      <c r="K50" s="115" t="str">
        <f t="shared" si="8"/>
        <v>OK</v>
      </c>
      <c r="L50" s="85"/>
      <c r="M50" s="85"/>
      <c r="N50" s="85"/>
      <c r="O50" s="85"/>
      <c r="P50" s="85"/>
      <c r="Q50" s="115" t="str">
        <f>IF(ROUND(Q22,0)&lt;=ROUND(Q21,0),"OK","ERROR")</f>
        <v>OK</v>
      </c>
      <c r="R50" s="85"/>
      <c r="S50" s="115" t="str">
        <f>IF(ROUND(S22,0)&lt;=ROUND(S21,0),"OK","ERROR")</f>
        <v>OK</v>
      </c>
      <c r="T50" s="115" t="str">
        <f>IF(ROUND(T22,0)&lt;=ROUND(T21,0),"OK","ERROR")</f>
        <v>OK</v>
      </c>
      <c r="U50" s="115" t="str">
        <f>IF(ROUND(U22,0)&lt;=ROUND(U21,0),"OK","ERROR")</f>
        <v>OK</v>
      </c>
      <c r="V50" s="85"/>
      <c r="W50" s="85"/>
    </row>
    <row r="51" spans="2:23">
      <c r="B51" s="288" t="s">
        <v>549</v>
      </c>
      <c r="C51" s="55"/>
      <c r="D51" s="115" t="str">
        <f>IF(ROUND(D25,0)&lt;=ROUND(D24,0),"OK","ERROR")</f>
        <v>OK</v>
      </c>
      <c r="E51" s="115" t="str">
        <f>IF(ROUND(E25,0)&gt;=ROUND(E24,0),"OK","ERROR")</f>
        <v>OK</v>
      </c>
      <c r="F51" s="115" t="str">
        <f t="shared" ref="F51:K51" si="9">IF(ROUND(F25,0)&lt;=ROUND(F24,0),"OK","ERROR")</f>
        <v>OK</v>
      </c>
      <c r="G51" s="115" t="str">
        <f t="shared" si="9"/>
        <v>OK</v>
      </c>
      <c r="H51" s="115" t="str">
        <f t="shared" si="9"/>
        <v>OK</v>
      </c>
      <c r="I51" s="115" t="str">
        <f t="shared" si="9"/>
        <v>OK</v>
      </c>
      <c r="J51" s="115" t="str">
        <f t="shared" si="9"/>
        <v>OK</v>
      </c>
      <c r="K51" s="115" t="str">
        <f t="shared" si="9"/>
        <v>OK</v>
      </c>
      <c r="L51" s="278"/>
      <c r="M51" s="278"/>
      <c r="N51" s="278"/>
      <c r="O51" s="278"/>
      <c r="P51" s="278"/>
      <c r="Q51" s="115" t="str">
        <f>IF(ROUND(Q25,0)&lt;=ROUND(Q24,0),"OK","ERROR")</f>
        <v>OK</v>
      </c>
      <c r="R51" s="278"/>
      <c r="S51" s="115" t="str">
        <f>IF(ROUND(S25,0)&lt;=ROUND(S24,0),"OK","ERROR")</f>
        <v>OK</v>
      </c>
      <c r="T51" s="115" t="str">
        <f>IF(ROUND(T25,0)&lt;=ROUND(T24,0),"OK","ERROR")</f>
        <v>OK</v>
      </c>
      <c r="U51" s="115" t="str">
        <f>IF(ROUND(U25,0)&lt;=ROUND(U24,0),"OK","ERROR")</f>
        <v>OK</v>
      </c>
      <c r="V51" s="85"/>
      <c r="W51" s="85"/>
    </row>
    <row r="52" spans="2:23">
      <c r="B52" s="288" t="s">
        <v>553</v>
      </c>
      <c r="C52" s="55"/>
      <c r="D52" s="115" t="str">
        <f>IF(ROUND(D27,0)&lt;=ROUND(D26,0),"OK","ERROR")</f>
        <v>OK</v>
      </c>
      <c r="E52" s="115" t="str">
        <f>IF(ROUND(E27,0)&gt;=ROUND(E26,0),"OK","ERROR")</f>
        <v>OK</v>
      </c>
      <c r="F52" s="115" t="str">
        <f t="shared" ref="F52:K52" si="10">IF(ROUND(F27,0)&lt;=ROUND(F26,0),"OK","ERROR")</f>
        <v>OK</v>
      </c>
      <c r="G52" s="115" t="str">
        <f t="shared" si="10"/>
        <v>OK</v>
      </c>
      <c r="H52" s="115" t="str">
        <f t="shared" si="10"/>
        <v>OK</v>
      </c>
      <c r="I52" s="115" t="str">
        <f t="shared" si="10"/>
        <v>OK</v>
      </c>
      <c r="J52" s="115" t="str">
        <f t="shared" si="10"/>
        <v>OK</v>
      </c>
      <c r="K52" s="115" t="str">
        <f t="shared" si="10"/>
        <v>OK</v>
      </c>
      <c r="L52" s="278"/>
      <c r="M52" s="278"/>
      <c r="N52" s="278"/>
      <c r="O52" s="278"/>
      <c r="P52" s="278"/>
      <c r="Q52" s="115" t="str">
        <f>IF(ROUND(Q27,0)&lt;=ROUND(Q26,0),"OK","ERROR")</f>
        <v>OK</v>
      </c>
      <c r="R52" s="278"/>
      <c r="S52" s="115" t="str">
        <f>IF(ROUND(S27,0)&lt;=ROUND(S26,0),"OK","ERROR")</f>
        <v>OK</v>
      </c>
      <c r="T52" s="115" t="str">
        <f>IF(ROUND(T27,0)&lt;=ROUND(T26,0),"OK","ERROR")</f>
        <v>OK</v>
      </c>
      <c r="U52" s="115" t="str">
        <f>IF(ROUND(U27,0)&lt;=ROUND(U26,0),"OK","ERROR")</f>
        <v>OK</v>
      </c>
      <c r="V52" s="278"/>
      <c r="W52" s="278"/>
    </row>
    <row r="53" spans="2:23">
      <c r="B53" s="290"/>
      <c r="C53" s="278"/>
      <c r="D53" s="278"/>
      <c r="E53" s="278"/>
      <c r="F53" s="278"/>
      <c r="G53" s="278"/>
      <c r="H53" s="278"/>
      <c r="I53" s="278"/>
      <c r="J53" s="278"/>
      <c r="K53" s="278"/>
      <c r="L53" s="278"/>
      <c r="M53" s="278"/>
      <c r="N53" s="278"/>
      <c r="O53" s="278"/>
      <c r="P53" s="278"/>
      <c r="Q53" s="278"/>
      <c r="R53" s="278"/>
      <c r="S53" s="278"/>
      <c r="T53" s="278"/>
      <c r="U53" s="278"/>
      <c r="V53" s="85"/>
      <c r="W53" s="85"/>
    </row>
    <row r="54" spans="2:23">
      <c r="B54" s="53" t="s">
        <v>550</v>
      </c>
      <c r="C54" s="55"/>
      <c r="D54" s="115" t="str">
        <f>IF(ROUND(D33,0)&lt;=ROUND(D32,0),"OK","ERROR")</f>
        <v>OK</v>
      </c>
      <c r="E54" s="115" t="str">
        <f>IF(ROUND(E33,0)&gt;=ROUND(E32,0),"OK","ERROR")</f>
        <v>OK</v>
      </c>
      <c r="F54" s="115" t="str">
        <f t="shared" ref="F54:K54" si="11">IF(ROUND(F33,0)&lt;=ROUND(F32,0),"OK","ERROR")</f>
        <v>OK</v>
      </c>
      <c r="G54" s="115" t="str">
        <f t="shared" si="11"/>
        <v>OK</v>
      </c>
      <c r="H54" s="115" t="str">
        <f t="shared" si="11"/>
        <v>OK</v>
      </c>
      <c r="I54" s="115" t="str">
        <f t="shared" si="11"/>
        <v>OK</v>
      </c>
      <c r="J54" s="115" t="str">
        <f t="shared" si="11"/>
        <v>OK</v>
      </c>
      <c r="K54" s="115" t="str">
        <f t="shared" si="11"/>
        <v>OK</v>
      </c>
      <c r="L54" s="85"/>
      <c r="M54" s="85"/>
      <c r="N54" s="85"/>
      <c r="O54" s="85"/>
      <c r="P54" s="85"/>
      <c r="Q54" s="115" t="str">
        <f>IF(ROUND(Q33,0)&lt;=ROUND(Q32,0),"OK","ERROR")</f>
        <v>OK</v>
      </c>
      <c r="R54" s="85"/>
      <c r="S54" s="115" t="str">
        <f>IF(ROUND(S33,0)&lt;=ROUND(S32,0),"OK","ERROR")</f>
        <v>OK</v>
      </c>
      <c r="T54" s="115" t="str">
        <f>IF(ROUND(T33,0)&lt;=ROUND(T32,0),"OK","ERROR")</f>
        <v>OK</v>
      </c>
      <c r="U54" s="115" t="str">
        <f>IF(ROUND(U33,0)&lt;=ROUND(U32,0),"OK","ERROR")</f>
        <v>OK</v>
      </c>
      <c r="V54" s="85"/>
      <c r="W54" s="85"/>
    </row>
    <row r="55" spans="2:23">
      <c r="V55" s="85"/>
      <c r="W55" s="85"/>
    </row>
  </sheetData>
  <sheetProtection sheet="1" objects="1" scenarios="1"/>
  <customSheetViews>
    <customSheetView guid="{4435029F-2F1B-45E2-BFDE-13E66716A0E9}" scale="80" showGridLines="0" showRowCol="0" zeroValues="0">
      <pane xSplit="3" ySplit="13" topLeftCell="D14" activePane="bottomRight" state="frozen"/>
      <selection pane="bottomRight" activeCell="L14" sqref="L14"/>
      <colBreaks count="1" manualBreakCount="1">
        <brk id="11" max="34" man="1"/>
      </colBreaks>
      <pageMargins left="0.39370078740157483" right="0.39370078740157483" top="0.39370078740157483" bottom="0.39370078740157483" header="0.19685039370078741" footer="0"/>
      <pageSetup paperSize="9" scale="54" orientation="landscape" r:id="rId1"/>
      <headerFooter alignWithMargins="0">
        <oddFooter>&amp;L&amp;"Arial,Fett"SNB Confidential&amp;C&amp;D&amp;RPage &amp;P</oddFooter>
      </headerFooter>
    </customSheetView>
  </customSheetViews>
  <mergeCells count="2">
    <mergeCell ref="E2:I2"/>
    <mergeCell ref="M2:Q2"/>
  </mergeCells>
  <phoneticPr fontId="10" type="noConversion"/>
  <conditionalFormatting sqref="D25">
    <cfRule type="cellIs" dxfId="1" priority="3" stopIfTrue="1" operator="equal">
      <formula>$D$49="ERROR"</formula>
    </cfRule>
  </conditionalFormatting>
  <pageMargins left="0.39370078740157483" right="0.39370078740157483" top="0.39370078740157483" bottom="0.39370078740157483" header="0.19685039370078741" footer="0"/>
  <pageSetup paperSize="9" scale="54" orientation="landscape" r:id="rId2"/>
  <headerFooter alignWithMargins="0">
    <oddFooter>&amp;L&amp;"Arial,Fett"SNB Confidential&amp;C&amp;D&amp;RPage &amp;P</oddFooter>
  </headerFooter>
  <colBreaks count="1" manualBreakCount="1">
    <brk id="11" max="34"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AF55"/>
  <sheetViews>
    <sheetView showGridLines="0" showRowColHeaders="0" showZeros="0" zoomScale="80" zoomScaleNormal="80" zoomScaleSheetLayoutView="80" workbookViewId="0">
      <pane xSplit="3" ySplit="13" topLeftCell="D14" activePane="bottomRight" state="frozen"/>
      <selection activeCell="T2" sqref="T2"/>
      <selection pane="topRight" activeCell="T2" sqref="T2"/>
      <selection pane="bottomLeft" activeCell="T2" sqref="T2"/>
      <selection pane="bottomRight" activeCell="L14" sqref="L14"/>
    </sheetView>
  </sheetViews>
  <sheetFormatPr baseColWidth="10" defaultColWidth="11.42578125" defaultRowHeight="12.75"/>
  <cols>
    <col min="1" max="1" width="8.42578125" style="4" customWidth="1"/>
    <col min="2" max="2" width="39.28515625" style="4" customWidth="1"/>
    <col min="3" max="3" width="4.7109375" style="4" customWidth="1"/>
    <col min="4" max="6" width="20.28515625" style="4" customWidth="1"/>
    <col min="7" max="7" width="15.7109375" style="4" customWidth="1"/>
    <col min="8" max="8" width="16.28515625" style="4" customWidth="1"/>
    <col min="9" max="9" width="15.7109375" style="4" customWidth="1"/>
    <col min="10" max="10" width="17.5703125" style="4" customWidth="1"/>
    <col min="11" max="11" width="24.85546875" style="4" customWidth="1"/>
    <col min="12" max="16" width="17.7109375" style="4" customWidth="1"/>
    <col min="17" max="20" width="20.28515625" style="4" customWidth="1"/>
    <col min="21" max="21" width="24.85546875" style="4" customWidth="1"/>
    <col min="22" max="22" width="4.7109375" style="4" customWidth="1"/>
    <col min="23" max="25" width="11.42578125" style="4" customWidth="1"/>
    <col min="26" max="26" width="21.5703125" style="4" customWidth="1"/>
    <col min="27" max="30" width="11.42578125" style="4" customWidth="1"/>
    <col min="31" max="31" width="21.5703125" style="4" customWidth="1"/>
    <col min="32" max="16384" width="11.42578125" style="4"/>
  </cols>
  <sheetData>
    <row r="1" spans="1:31" ht="20.25" customHeight="1">
      <c r="A1" s="6"/>
      <c r="B1" s="6"/>
      <c r="C1" s="6"/>
      <c r="E1" s="12" t="s">
        <v>46</v>
      </c>
      <c r="G1" s="11"/>
      <c r="H1" s="11"/>
      <c r="I1" s="11"/>
      <c r="J1" s="126" t="s">
        <v>61</v>
      </c>
      <c r="K1" s="305" t="s">
        <v>609</v>
      </c>
      <c r="L1" s="11"/>
      <c r="M1" s="12" t="s">
        <v>46</v>
      </c>
      <c r="N1" s="11"/>
      <c r="O1" s="11"/>
      <c r="P1" s="11"/>
      <c r="Q1" s="11"/>
      <c r="R1" s="11"/>
      <c r="S1" s="11"/>
      <c r="T1" s="126" t="s">
        <v>61</v>
      </c>
      <c r="U1" s="305" t="str">
        <f>K1</f>
        <v>CSIB_CRSABIS_07</v>
      </c>
      <c r="V1" s="11"/>
    </row>
    <row r="2" spans="1:31" ht="20.25" customHeight="1">
      <c r="A2" s="6"/>
      <c r="B2" s="11"/>
      <c r="C2" s="6"/>
      <c r="E2" s="669" t="s">
        <v>620</v>
      </c>
      <c r="F2" s="669"/>
      <c r="G2" s="669"/>
      <c r="H2" s="669"/>
      <c r="I2" s="669"/>
      <c r="J2" s="126" t="s">
        <v>1224</v>
      </c>
      <c r="K2" s="300" t="str">
        <f>'Delivery note'!H3</f>
        <v>XXXXXX</v>
      </c>
      <c r="L2" s="11"/>
      <c r="M2" s="669" t="s">
        <v>620</v>
      </c>
      <c r="N2" s="669"/>
      <c r="O2" s="669"/>
      <c r="P2" s="669"/>
      <c r="Q2" s="669"/>
      <c r="R2" s="11"/>
      <c r="S2" s="11"/>
      <c r="T2" s="126" t="s">
        <v>1224</v>
      </c>
      <c r="U2" s="300" t="str">
        <f>K2</f>
        <v>XXXXXX</v>
      </c>
      <c r="V2" s="11"/>
    </row>
    <row r="3" spans="1:31" ht="20.25" customHeight="1">
      <c r="A3" s="6"/>
      <c r="B3" s="11"/>
      <c r="C3" s="6"/>
      <c r="E3" s="144" t="s">
        <v>601</v>
      </c>
      <c r="G3" s="11"/>
      <c r="I3" s="85"/>
      <c r="J3" s="126" t="s">
        <v>546</v>
      </c>
      <c r="K3" s="306" t="str">
        <f>'Delivery note'!H4</f>
        <v>DD.MM.YYYY</v>
      </c>
      <c r="L3" s="11"/>
      <c r="M3" s="144" t="s">
        <v>601</v>
      </c>
      <c r="N3" s="6"/>
      <c r="O3" s="11"/>
      <c r="P3" s="11"/>
      <c r="Q3" s="11"/>
      <c r="R3" s="11"/>
      <c r="S3" s="11"/>
      <c r="T3" s="126" t="s">
        <v>546</v>
      </c>
      <c r="U3" s="306" t="str">
        <f>K3</f>
        <v>DD.MM.YYYY</v>
      </c>
      <c r="V3" s="11"/>
    </row>
    <row r="4" spans="1:31" ht="20.100000000000001" customHeight="1">
      <c r="A4" s="6"/>
      <c r="B4" s="11"/>
      <c r="C4" s="6"/>
      <c r="E4" s="145" t="s">
        <v>54</v>
      </c>
      <c r="H4" s="11"/>
      <c r="I4" s="85"/>
      <c r="J4" s="48"/>
      <c r="K4" s="116"/>
      <c r="L4" s="11"/>
      <c r="M4" s="145" t="s">
        <v>54</v>
      </c>
      <c r="N4" s="11"/>
      <c r="O4" s="11"/>
      <c r="P4" s="11"/>
      <c r="Q4" s="11"/>
      <c r="R4" s="11"/>
      <c r="S4" s="11"/>
      <c r="T4" s="11"/>
      <c r="U4" s="11"/>
      <c r="V4" s="11"/>
    </row>
    <row r="5" spans="1:31" ht="20.100000000000001" customHeight="1">
      <c r="A5" s="6"/>
      <c r="B5" s="11"/>
      <c r="C5" s="6"/>
      <c r="E5" s="146" t="s">
        <v>138</v>
      </c>
      <c r="F5" s="11"/>
      <c r="G5" s="11"/>
      <c r="H5" s="11"/>
      <c r="I5" s="11"/>
      <c r="J5" s="11"/>
      <c r="K5" s="11"/>
      <c r="L5" s="11"/>
      <c r="M5" s="146" t="s">
        <v>138</v>
      </c>
      <c r="N5" s="11"/>
      <c r="O5" s="11"/>
      <c r="P5" s="11"/>
      <c r="Q5" s="11"/>
      <c r="R5" s="11"/>
      <c r="S5" s="11"/>
      <c r="T5" s="11"/>
      <c r="U5" s="11"/>
      <c r="V5" s="11"/>
    </row>
    <row r="6" spans="1:31" ht="20.100000000000001" customHeight="1">
      <c r="A6" s="6"/>
      <c r="B6" s="11"/>
      <c r="C6" s="6"/>
      <c r="D6" s="6"/>
      <c r="E6" s="4" t="s">
        <v>6</v>
      </c>
      <c r="M6" s="4" t="s">
        <v>6</v>
      </c>
    </row>
    <row r="7" spans="1:31" ht="20.100000000000001" customHeight="1">
      <c r="A7" s="8"/>
      <c r="B7" s="11"/>
      <c r="C7" s="8"/>
      <c r="D7" s="8"/>
      <c r="F7" s="11"/>
      <c r="G7" s="11"/>
      <c r="H7" s="11"/>
      <c r="I7" s="11"/>
      <c r="J7" s="49"/>
      <c r="K7" s="49"/>
      <c r="L7" s="11"/>
      <c r="N7" s="49"/>
      <c r="O7" s="11"/>
      <c r="P7" s="11"/>
      <c r="Q7" s="11"/>
      <c r="R7" s="11"/>
      <c r="S7" s="11"/>
      <c r="T7" s="11"/>
      <c r="U7" s="11"/>
      <c r="V7" s="49"/>
    </row>
    <row r="8" spans="1:31" ht="14.25" customHeight="1">
      <c r="A8" s="161"/>
      <c r="B8" s="41"/>
      <c r="C8" s="151"/>
      <c r="D8" s="28" t="s">
        <v>8</v>
      </c>
      <c r="E8" s="28" t="s">
        <v>15</v>
      </c>
      <c r="F8" s="47" t="s">
        <v>19</v>
      </c>
      <c r="G8" s="34" t="s">
        <v>55</v>
      </c>
      <c r="H8" s="42"/>
      <c r="I8" s="42"/>
      <c r="J8" s="62"/>
      <c r="K8" s="35" t="s">
        <v>19</v>
      </c>
      <c r="L8" s="42" t="s">
        <v>26</v>
      </c>
      <c r="M8" s="38"/>
      <c r="N8" s="38"/>
      <c r="O8" s="38"/>
      <c r="P8" s="35"/>
      <c r="Q8" s="30" t="s">
        <v>33</v>
      </c>
      <c r="R8" s="30" t="s">
        <v>37</v>
      </c>
      <c r="S8" s="30" t="s">
        <v>42</v>
      </c>
      <c r="T8" s="46" t="s">
        <v>44</v>
      </c>
      <c r="U8" s="30" t="s">
        <v>13</v>
      </c>
      <c r="V8" s="151"/>
      <c r="W8" s="22"/>
      <c r="X8" s="22"/>
      <c r="Y8" s="6"/>
      <c r="Z8" s="6"/>
    </row>
    <row r="9" spans="1:31" ht="14.25" customHeight="1">
      <c r="A9" s="162"/>
      <c r="B9" s="12"/>
      <c r="C9" s="152"/>
      <c r="D9" s="29" t="s">
        <v>9</v>
      </c>
      <c r="E9" s="29" t="s">
        <v>16</v>
      </c>
      <c r="F9" s="44" t="s">
        <v>20</v>
      </c>
      <c r="G9" s="63" t="s">
        <v>56</v>
      </c>
      <c r="H9" s="64"/>
      <c r="I9" s="64"/>
      <c r="J9" s="43"/>
      <c r="K9" s="43" t="s">
        <v>20</v>
      </c>
      <c r="L9" s="33"/>
      <c r="M9" s="33"/>
      <c r="N9" s="33"/>
      <c r="O9" s="40"/>
      <c r="P9" s="37"/>
      <c r="Q9" s="32" t="s">
        <v>34</v>
      </c>
      <c r="R9" s="32" t="s">
        <v>38</v>
      </c>
      <c r="S9" s="32" t="s">
        <v>43</v>
      </c>
      <c r="T9" s="29" t="s">
        <v>45</v>
      </c>
      <c r="U9" s="29" t="s">
        <v>14</v>
      </c>
      <c r="V9" s="152"/>
      <c r="W9" s="22"/>
      <c r="X9" s="22"/>
      <c r="Y9" s="6"/>
      <c r="Z9" s="6"/>
    </row>
    <row r="10" spans="1:31" ht="14.25" customHeight="1">
      <c r="A10" s="162"/>
      <c r="B10" s="12"/>
      <c r="C10" s="152"/>
      <c r="D10" s="29" t="s">
        <v>7</v>
      </c>
      <c r="E10" s="29" t="s">
        <v>17</v>
      </c>
      <c r="F10" s="44" t="s">
        <v>21</v>
      </c>
      <c r="G10" s="63"/>
      <c r="H10" s="65"/>
      <c r="I10" s="65"/>
      <c r="J10" s="66"/>
      <c r="K10" s="43" t="s">
        <v>24</v>
      </c>
      <c r="L10" s="42" t="s">
        <v>27</v>
      </c>
      <c r="M10" s="35"/>
      <c r="N10" s="43" t="s">
        <v>30</v>
      </c>
      <c r="O10" s="34" t="s">
        <v>11</v>
      </c>
      <c r="P10" s="35"/>
      <c r="Q10" s="32" t="s">
        <v>35</v>
      </c>
      <c r="R10" s="32" t="s">
        <v>39</v>
      </c>
      <c r="S10" s="32" t="s">
        <v>119</v>
      </c>
      <c r="T10" s="32"/>
      <c r="U10" s="32" t="s">
        <v>58</v>
      </c>
      <c r="V10" s="152"/>
      <c r="W10" s="22"/>
      <c r="X10" s="22"/>
      <c r="Y10" s="6"/>
      <c r="Z10" s="6"/>
    </row>
    <row r="11" spans="1:31" ht="14.25" customHeight="1">
      <c r="A11" s="162"/>
      <c r="B11" s="12"/>
      <c r="C11" s="152"/>
      <c r="D11" s="29"/>
      <c r="E11" s="29" t="s">
        <v>18</v>
      </c>
      <c r="F11" s="44" t="s">
        <v>22</v>
      </c>
      <c r="G11" s="36"/>
      <c r="H11" s="40"/>
      <c r="I11" s="45"/>
      <c r="J11" s="37"/>
      <c r="K11" s="43" t="s">
        <v>25</v>
      </c>
      <c r="L11" s="45" t="s">
        <v>28</v>
      </c>
      <c r="M11" s="37"/>
      <c r="N11" s="37" t="s">
        <v>12</v>
      </c>
      <c r="O11" s="39" t="s">
        <v>10</v>
      </c>
      <c r="P11" s="37"/>
      <c r="Q11" s="32" t="s">
        <v>36</v>
      </c>
      <c r="R11" s="32" t="s">
        <v>40</v>
      </c>
      <c r="T11" s="32"/>
      <c r="U11" s="32" t="s">
        <v>162</v>
      </c>
      <c r="V11" s="152"/>
      <c r="W11" s="22"/>
      <c r="X11" s="22"/>
      <c r="Y11" s="6"/>
      <c r="Z11" s="6"/>
    </row>
    <row r="12" spans="1:31" ht="68.25" customHeight="1">
      <c r="A12" s="6"/>
      <c r="B12" s="6"/>
      <c r="C12" s="152"/>
      <c r="D12" s="32"/>
      <c r="E12" s="32" t="s">
        <v>160</v>
      </c>
      <c r="F12" s="44" t="s">
        <v>23</v>
      </c>
      <c r="G12" s="174" t="s">
        <v>5</v>
      </c>
      <c r="H12" s="175">
        <v>0.2</v>
      </c>
      <c r="I12" s="176">
        <v>0.5</v>
      </c>
      <c r="J12" s="175">
        <v>1</v>
      </c>
      <c r="K12" s="43" t="s">
        <v>60</v>
      </c>
      <c r="L12" s="177" t="s">
        <v>1</v>
      </c>
      <c r="M12" s="178" t="s">
        <v>29</v>
      </c>
      <c r="N12" s="178" t="s">
        <v>31</v>
      </c>
      <c r="O12" s="32" t="s">
        <v>161</v>
      </c>
      <c r="P12" s="32" t="s">
        <v>32</v>
      </c>
      <c r="Q12" s="32" t="s">
        <v>57</v>
      </c>
      <c r="R12" s="32" t="s">
        <v>41</v>
      </c>
      <c r="S12" s="32"/>
      <c r="T12" s="32"/>
      <c r="U12" s="32"/>
      <c r="V12" s="152"/>
      <c r="W12" s="9"/>
      <c r="X12" s="9"/>
      <c r="Y12" s="9"/>
      <c r="Z12" s="9"/>
    </row>
    <row r="13" spans="1:31" ht="20.100000000000001" customHeight="1">
      <c r="A13" s="11"/>
      <c r="B13" s="49"/>
      <c r="C13" s="153"/>
      <c r="D13" s="179" t="s">
        <v>95</v>
      </c>
      <c r="E13" s="179" t="s">
        <v>96</v>
      </c>
      <c r="F13" s="179" t="s">
        <v>97</v>
      </c>
      <c r="G13" s="179" t="s">
        <v>98</v>
      </c>
      <c r="H13" s="179" t="s">
        <v>99</v>
      </c>
      <c r="I13" s="179" t="s">
        <v>100</v>
      </c>
      <c r="J13" s="179" t="s">
        <v>101</v>
      </c>
      <c r="K13" s="179" t="s">
        <v>102</v>
      </c>
      <c r="L13" s="179" t="s">
        <v>103</v>
      </c>
      <c r="M13" s="179" t="s">
        <v>104</v>
      </c>
      <c r="N13" s="179" t="s">
        <v>105</v>
      </c>
      <c r="O13" s="179" t="s">
        <v>106</v>
      </c>
      <c r="P13" s="179" t="s">
        <v>107</v>
      </c>
      <c r="Q13" s="179" t="s">
        <v>108</v>
      </c>
      <c r="R13" s="179" t="s">
        <v>109</v>
      </c>
      <c r="S13" s="179" t="s">
        <v>110</v>
      </c>
      <c r="T13" s="179" t="s">
        <v>111</v>
      </c>
      <c r="U13" s="179" t="s">
        <v>112</v>
      </c>
      <c r="V13" s="153"/>
      <c r="X13" s="6" t="s">
        <v>131</v>
      </c>
      <c r="Y13" s="6" t="s">
        <v>132</v>
      </c>
      <c r="Z13" s="6" t="s">
        <v>133</v>
      </c>
      <c r="AA13" s="6" t="s">
        <v>113</v>
      </c>
      <c r="AB13" s="6" t="s">
        <v>114</v>
      </c>
      <c r="AC13" s="6" t="s">
        <v>117</v>
      </c>
      <c r="AD13" s="6" t="s">
        <v>115</v>
      </c>
      <c r="AE13" s="6" t="s">
        <v>118</v>
      </c>
    </row>
    <row r="14" spans="1:31" ht="20.100000000000001" customHeight="1" thickBot="1">
      <c r="A14" s="185"/>
      <c r="B14" s="154" t="s">
        <v>2</v>
      </c>
      <c r="C14" s="114">
        <v>1</v>
      </c>
      <c r="D14" s="27">
        <f>SUM(D19:D21,D23:D24,D26,D28,D32,D34)</f>
        <v>0</v>
      </c>
      <c r="E14" s="279">
        <f>SUM(E19:E21,E23:E24,E26,E28,E32,E34)</f>
        <v>0</v>
      </c>
      <c r="F14" s="27">
        <f>D14+E14</f>
        <v>0</v>
      </c>
      <c r="G14" s="279">
        <f>SUM(G19:G21,G23:G24,G26,G28,G32,G34)</f>
        <v>0</v>
      </c>
      <c r="H14" s="279">
        <f>SUM(H19:H21,H23:H24,H26,H28,H32,H34)</f>
        <v>0</v>
      </c>
      <c r="I14" s="279">
        <f>SUM(I19:I21,I23:I24,I26,I28,I32,I34)</f>
        <v>0</v>
      </c>
      <c r="J14" s="279">
        <f>SUM(J19:J21,J23:J24,J26,J28,J32,J34)</f>
        <v>0</v>
      </c>
      <c r="K14" s="51">
        <f>F14-G14-0.8*H14-0.5*I14</f>
        <v>0</v>
      </c>
      <c r="L14" s="50"/>
      <c r="M14" s="14"/>
      <c r="N14" s="25"/>
      <c r="O14" s="27">
        <f>(L14+M14+N14)*-1</f>
        <v>0</v>
      </c>
      <c r="P14" s="14"/>
      <c r="Q14" s="279">
        <f>SUM(Q19:Q21,Q23:Q24,Q26,Q28,Q32,Q34)</f>
        <v>0</v>
      </c>
      <c r="R14" s="14"/>
      <c r="S14" s="279">
        <f>SUM(S19:S21,S23:S24,S26,S28,S32,S34)</f>
        <v>0</v>
      </c>
      <c r="T14" s="279">
        <f>SUM(T19:T21,T23:T24,T26,T28,T32,T34)</f>
        <v>0</v>
      </c>
      <c r="U14" s="27">
        <f>T14*0.08</f>
        <v>0</v>
      </c>
      <c r="V14" s="114">
        <v>1</v>
      </c>
      <c r="W14" s="15"/>
      <c r="X14" s="180" t="str">
        <f>IF(D14&gt;=0,"OK","ERROR")</f>
        <v>OK</v>
      </c>
      <c r="Y14" s="180" t="str">
        <f>IF(E14&lt;=0,"OK","ERROR")</f>
        <v>OK</v>
      </c>
      <c r="Z14" s="180" t="str">
        <f>IF(MIN(F14:N14)&gt;=0,"OK","ERROR")</f>
        <v>OK</v>
      </c>
      <c r="AA14" s="180" t="str">
        <f>IF(O14&lt;=0,"OK","ERROR")</f>
        <v>OK</v>
      </c>
      <c r="AB14" s="180" t="str">
        <f>IF(P14&gt;=0,"OK","ERROR")</f>
        <v>OK</v>
      </c>
      <c r="AC14" s="180" t="str">
        <f>IF(Q14&gt;=0,"OK","ERROR")</f>
        <v>OK</v>
      </c>
      <c r="AD14" s="180" t="str">
        <f>IF(R14&lt;=0,"OK","ERROR")</f>
        <v>OK</v>
      </c>
      <c r="AE14" s="180" t="str">
        <f>IF(MIN(S14:U14)&gt;=0,"OK","ERROR")</f>
        <v>OK</v>
      </c>
    </row>
    <row r="15" spans="1:31" ht="30" customHeight="1" thickTop="1">
      <c r="A15" s="163"/>
      <c r="B15" s="155" t="s">
        <v>116</v>
      </c>
      <c r="C15" s="114"/>
      <c r="D15" s="143"/>
      <c r="E15" s="143"/>
      <c r="F15" s="143"/>
      <c r="G15" s="143"/>
      <c r="H15" s="143"/>
      <c r="I15" s="143"/>
      <c r="J15" s="143"/>
      <c r="K15" s="143"/>
      <c r="L15" s="143"/>
      <c r="M15" s="143"/>
      <c r="N15" s="143"/>
      <c r="O15" s="143"/>
      <c r="P15" s="143"/>
      <c r="Q15" s="143"/>
      <c r="R15" s="143"/>
      <c r="S15" s="143"/>
      <c r="T15" s="143"/>
      <c r="U15" s="143"/>
      <c r="V15" s="114"/>
      <c r="W15" s="147"/>
      <c r="X15" s="148"/>
      <c r="Y15" s="148"/>
      <c r="Z15" s="148"/>
      <c r="AA15" s="6"/>
      <c r="AB15" s="139"/>
      <c r="AC15" s="6"/>
      <c r="AD15" s="6"/>
      <c r="AE15" s="140"/>
    </row>
    <row r="16" spans="1:31" ht="20.100000000000001" customHeight="1" thickBot="1">
      <c r="A16" s="163"/>
      <c r="B16" s="156" t="s">
        <v>3</v>
      </c>
      <c r="C16" s="114">
        <v>2</v>
      </c>
      <c r="D16" s="14"/>
      <c r="E16" s="14"/>
      <c r="F16" s="27">
        <f>D16+E16</f>
        <v>0</v>
      </c>
      <c r="G16" s="13"/>
      <c r="H16" s="13"/>
      <c r="I16" s="13"/>
      <c r="J16" s="26"/>
      <c r="K16" s="52">
        <f>F16</f>
        <v>0</v>
      </c>
      <c r="L16" s="23"/>
      <c r="M16" s="13"/>
      <c r="N16" s="13"/>
      <c r="O16" s="13"/>
      <c r="P16" s="13"/>
      <c r="Q16" s="14"/>
      <c r="R16" s="13"/>
      <c r="S16" s="14"/>
      <c r="T16" s="14"/>
      <c r="U16" s="27">
        <f>T16*0.08</f>
        <v>0</v>
      </c>
      <c r="V16" s="114">
        <v>2</v>
      </c>
      <c r="W16" s="15"/>
      <c r="X16" s="115" t="str">
        <f>IF(D16&gt;=0,"OK","ERROR")</f>
        <v>OK</v>
      </c>
      <c r="Y16" s="115" t="str">
        <f>IF(E16&lt;=0,"OK","ERROR")</f>
        <v>OK</v>
      </c>
      <c r="Z16" s="115" t="str">
        <f>IF(MIN(F16:N16)&gt;=0,"OK","ERROR")</f>
        <v>OK</v>
      </c>
      <c r="AA16" s="6"/>
      <c r="AB16" s="6"/>
      <c r="AC16" s="115" t="str">
        <f>IF(Q16&gt;=0,"OK","ERROR")</f>
        <v>OK</v>
      </c>
      <c r="AD16" s="6"/>
      <c r="AE16" s="115" t="str">
        <f>IF(MIN(S16:U16)&gt;=0,"OK","ERROR")</f>
        <v>OK</v>
      </c>
    </row>
    <row r="17" spans="1:32" ht="20.100000000000001" customHeight="1" thickTop="1" thickBot="1">
      <c r="A17" s="163"/>
      <c r="B17" s="156" t="s">
        <v>4</v>
      </c>
      <c r="C17" s="114">
        <v>3</v>
      </c>
      <c r="D17" s="14"/>
      <c r="E17" s="14"/>
      <c r="F17" s="27">
        <f>D17+E17</f>
        <v>0</v>
      </c>
      <c r="G17" s="14"/>
      <c r="H17" s="14"/>
      <c r="I17" s="14"/>
      <c r="J17" s="25"/>
      <c r="K17" s="52">
        <f>F17-G17-0.8*H17-0.5*I17</f>
        <v>0</v>
      </c>
      <c r="L17" s="23"/>
      <c r="M17" s="13"/>
      <c r="N17" s="13"/>
      <c r="O17" s="13"/>
      <c r="P17" s="13"/>
      <c r="Q17" s="14"/>
      <c r="R17" s="13"/>
      <c r="S17" s="14"/>
      <c r="T17" s="14"/>
      <c r="U17" s="27">
        <f>T17*0.08</f>
        <v>0</v>
      </c>
      <c r="V17" s="114">
        <v>3</v>
      </c>
      <c r="W17" s="15"/>
      <c r="X17" s="115" t="str">
        <f>IF(D17&gt;=0,"OK","ERROR")</f>
        <v>OK</v>
      </c>
      <c r="Y17" s="115" t="str">
        <f>IF(E17&lt;=0,"OK","ERROR")</f>
        <v>OK</v>
      </c>
      <c r="Z17" s="115" t="str">
        <f>IF(MIN(F17:N17)&gt;=0,"OK","ERROR")</f>
        <v>OK</v>
      </c>
      <c r="AA17" s="6"/>
      <c r="AB17" s="6"/>
      <c r="AC17" s="115" t="str">
        <f>IF(Q17&gt;=0,"OK","ERROR")</f>
        <v>OK</v>
      </c>
      <c r="AD17" s="6"/>
      <c r="AE17" s="115" t="str">
        <f>IF(MIN(S17:U17)&gt;=0,"OK","ERROR")</f>
        <v>OK</v>
      </c>
    </row>
    <row r="18" spans="1:32" ht="44.25" customHeight="1" thickTop="1">
      <c r="A18" s="163"/>
      <c r="B18" s="155" t="s">
        <v>47</v>
      </c>
      <c r="C18" s="114"/>
      <c r="D18" s="143"/>
      <c r="E18" s="143"/>
      <c r="F18" s="143"/>
      <c r="G18" s="143"/>
      <c r="H18" s="143"/>
      <c r="I18" s="143"/>
      <c r="J18" s="143"/>
      <c r="K18" s="143"/>
      <c r="L18" s="143"/>
      <c r="M18" s="143"/>
      <c r="N18" s="143"/>
      <c r="O18" s="143"/>
      <c r="P18" s="143"/>
      <c r="Q18" s="143"/>
      <c r="R18" s="143"/>
      <c r="S18" s="143"/>
      <c r="T18" s="143"/>
      <c r="U18" s="143"/>
      <c r="V18" s="114"/>
      <c r="W18" s="147"/>
      <c r="X18" s="149"/>
      <c r="Y18" s="142"/>
      <c r="Z18" s="150"/>
      <c r="AA18" s="6"/>
      <c r="AB18" s="6"/>
      <c r="AC18" s="6"/>
      <c r="AD18" s="6"/>
      <c r="AE18" s="6"/>
      <c r="AF18" s="6"/>
    </row>
    <row r="19" spans="1:32" ht="20.100000000000001" customHeight="1" thickBot="1">
      <c r="A19" s="163"/>
      <c r="B19" s="157" t="s">
        <v>5</v>
      </c>
      <c r="C19" s="114">
        <v>4</v>
      </c>
      <c r="D19" s="14"/>
      <c r="E19" s="14"/>
      <c r="F19" s="27">
        <f t="shared" ref="F19:F34" si="0">D19+E19</f>
        <v>0</v>
      </c>
      <c r="G19" s="14"/>
      <c r="H19" s="14"/>
      <c r="I19" s="14"/>
      <c r="J19" s="25"/>
      <c r="K19" s="52">
        <f t="shared" ref="K19:K34" si="1">F19-G19-0.8*H19-0.5*I19</f>
        <v>0</v>
      </c>
      <c r="L19" s="23"/>
      <c r="M19" s="13"/>
      <c r="N19" s="13"/>
      <c r="O19" s="13"/>
      <c r="P19" s="13"/>
      <c r="Q19" s="14"/>
      <c r="R19" s="13"/>
      <c r="S19" s="14"/>
      <c r="T19" s="13"/>
      <c r="U19" s="13"/>
      <c r="V19" s="114">
        <v>4</v>
      </c>
      <c r="W19" s="15"/>
      <c r="X19" s="115" t="str">
        <f t="shared" ref="X19:X34" si="2">IF(D19&gt;=0,"OK","ERROR")</f>
        <v>OK</v>
      </c>
      <c r="Y19" s="115" t="str">
        <f t="shared" ref="Y19:Y34" si="3">IF(E19&lt;=0,"OK","ERROR")</f>
        <v>OK</v>
      </c>
      <c r="Z19" s="115" t="str">
        <f t="shared" ref="Z19:Z34" si="4">IF(MIN(F19:N19)&gt;=0,"OK","ERROR")</f>
        <v>OK</v>
      </c>
      <c r="AA19" s="6"/>
      <c r="AB19" s="6"/>
      <c r="AC19" s="115" t="str">
        <f t="shared" ref="AC19:AC34" si="5">IF(Q19&gt;=0,"OK","ERROR")</f>
        <v>OK</v>
      </c>
      <c r="AD19" s="6"/>
      <c r="AE19" s="115" t="str">
        <f t="shared" ref="AE19:AE34" si="6">IF(MIN(S19:U19)&gt;=0,"OK","ERROR")</f>
        <v>OK</v>
      </c>
    </row>
    <row r="20" spans="1:32" ht="20.100000000000001" customHeight="1" thickTop="1" thickBot="1">
      <c r="A20" s="163"/>
      <c r="B20" s="158">
        <v>0.1</v>
      </c>
      <c r="C20" s="280">
        <v>19</v>
      </c>
      <c r="D20" s="14"/>
      <c r="E20" s="14"/>
      <c r="F20" s="279">
        <f t="shared" si="0"/>
        <v>0</v>
      </c>
      <c r="G20" s="14"/>
      <c r="H20" s="14"/>
      <c r="I20" s="14"/>
      <c r="J20" s="25"/>
      <c r="K20" s="52">
        <f t="shared" si="1"/>
        <v>0</v>
      </c>
      <c r="L20" s="23"/>
      <c r="M20" s="13"/>
      <c r="N20" s="13"/>
      <c r="O20" s="13"/>
      <c r="P20" s="13"/>
      <c r="Q20" s="14"/>
      <c r="R20" s="13"/>
      <c r="S20" s="14"/>
      <c r="T20" s="279">
        <f>S20*0.1</f>
        <v>0</v>
      </c>
      <c r="U20" s="279">
        <f>T20*0.08</f>
        <v>0</v>
      </c>
      <c r="V20" s="280">
        <v>19</v>
      </c>
      <c r="W20" s="15"/>
      <c r="X20" s="115" t="str">
        <f>IF(D20&gt;=0,"OK","ERROR")</f>
        <v>OK</v>
      </c>
      <c r="Y20" s="115" t="str">
        <f>IF(E20&lt;=0,"OK","ERROR")</f>
        <v>OK</v>
      </c>
      <c r="Z20" s="115" t="str">
        <f>IF(MIN(F20:N20)&gt;=0,"OK","ERROR")</f>
        <v>OK</v>
      </c>
      <c r="AA20" s="6"/>
      <c r="AB20" s="6"/>
      <c r="AC20" s="115" t="str">
        <f t="shared" si="5"/>
        <v>OK</v>
      </c>
      <c r="AD20" s="6"/>
      <c r="AE20" s="115" t="str">
        <f t="shared" si="6"/>
        <v>OK</v>
      </c>
    </row>
    <row r="21" spans="1:32" ht="20.100000000000001" customHeight="1" thickTop="1" thickBot="1">
      <c r="A21" s="163"/>
      <c r="B21" s="158" t="s">
        <v>59</v>
      </c>
      <c r="C21" s="114">
        <v>5</v>
      </c>
      <c r="D21" s="14"/>
      <c r="E21" s="14"/>
      <c r="F21" s="27">
        <f t="shared" si="0"/>
        <v>0</v>
      </c>
      <c r="G21" s="14"/>
      <c r="H21" s="14"/>
      <c r="I21" s="14"/>
      <c r="J21" s="25"/>
      <c r="K21" s="52">
        <f t="shared" si="1"/>
        <v>0</v>
      </c>
      <c r="L21" s="23"/>
      <c r="M21" s="13"/>
      <c r="N21" s="13"/>
      <c r="O21" s="13"/>
      <c r="P21" s="13"/>
      <c r="Q21" s="14"/>
      <c r="R21" s="13"/>
      <c r="S21" s="14"/>
      <c r="T21" s="27">
        <f>S21*0.2</f>
        <v>0</v>
      </c>
      <c r="U21" s="27">
        <f t="shared" ref="U21:U34" si="7">T21*0.08</f>
        <v>0</v>
      </c>
      <c r="V21" s="114">
        <v>5</v>
      </c>
      <c r="W21" s="15"/>
      <c r="X21" s="115" t="str">
        <f t="shared" si="2"/>
        <v>OK</v>
      </c>
      <c r="Y21" s="115" t="str">
        <f t="shared" si="3"/>
        <v>OK</v>
      </c>
      <c r="Z21" s="115" t="str">
        <f t="shared" si="4"/>
        <v>OK</v>
      </c>
      <c r="AA21" s="6"/>
      <c r="AB21" s="6"/>
      <c r="AC21" s="115" t="str">
        <f t="shared" si="5"/>
        <v>OK</v>
      </c>
      <c r="AD21" s="6"/>
      <c r="AE21" s="115" t="str">
        <f t="shared" si="6"/>
        <v>OK</v>
      </c>
    </row>
    <row r="22" spans="1:32" ht="20.100000000000001" customHeight="1" thickTop="1" thickBot="1">
      <c r="A22" s="164"/>
      <c r="B22" s="158" t="s">
        <v>50</v>
      </c>
      <c r="C22" s="114">
        <v>6</v>
      </c>
      <c r="D22" s="14"/>
      <c r="E22" s="14"/>
      <c r="F22" s="27">
        <f t="shared" si="0"/>
        <v>0</v>
      </c>
      <c r="G22" s="14"/>
      <c r="H22" s="14"/>
      <c r="I22" s="14"/>
      <c r="J22" s="25"/>
      <c r="K22" s="52">
        <f t="shared" si="1"/>
        <v>0</v>
      </c>
      <c r="L22" s="23"/>
      <c r="M22" s="13"/>
      <c r="N22" s="13"/>
      <c r="O22" s="13"/>
      <c r="P22" s="13"/>
      <c r="Q22" s="14"/>
      <c r="R22" s="13"/>
      <c r="S22" s="14"/>
      <c r="T22" s="27">
        <f>S22*0.2</f>
        <v>0</v>
      </c>
      <c r="U22" s="27">
        <f t="shared" si="7"/>
        <v>0</v>
      </c>
      <c r="V22" s="114">
        <v>6</v>
      </c>
      <c r="W22" s="15"/>
      <c r="X22" s="115" t="str">
        <f t="shared" si="2"/>
        <v>OK</v>
      </c>
      <c r="Y22" s="115" t="str">
        <f t="shared" si="3"/>
        <v>OK</v>
      </c>
      <c r="Z22" s="115" t="str">
        <f t="shared" si="4"/>
        <v>OK</v>
      </c>
      <c r="AA22" s="6"/>
      <c r="AB22" s="6"/>
      <c r="AC22" s="115" t="str">
        <f t="shared" si="5"/>
        <v>OK</v>
      </c>
      <c r="AD22" s="6"/>
      <c r="AE22" s="115" t="str">
        <f t="shared" si="6"/>
        <v>OK</v>
      </c>
    </row>
    <row r="23" spans="1:32" ht="16.5" customHeight="1" thickTop="1" thickBot="1">
      <c r="A23" s="11"/>
      <c r="B23" s="158">
        <v>0.35</v>
      </c>
      <c r="C23" s="114">
        <v>7</v>
      </c>
      <c r="D23" s="14"/>
      <c r="E23" s="14"/>
      <c r="F23" s="27">
        <f t="shared" si="0"/>
        <v>0</v>
      </c>
      <c r="G23" s="14"/>
      <c r="H23" s="14"/>
      <c r="I23" s="14"/>
      <c r="J23" s="25"/>
      <c r="K23" s="52">
        <f t="shared" si="1"/>
        <v>0</v>
      </c>
      <c r="L23" s="23"/>
      <c r="M23" s="13"/>
      <c r="N23" s="13"/>
      <c r="O23" s="13"/>
      <c r="P23" s="13"/>
      <c r="Q23" s="14"/>
      <c r="R23" s="13"/>
      <c r="S23" s="14"/>
      <c r="T23" s="27">
        <f>S23*0.35</f>
        <v>0</v>
      </c>
      <c r="U23" s="27">
        <f t="shared" si="7"/>
        <v>0</v>
      </c>
      <c r="V23" s="114">
        <v>7</v>
      </c>
      <c r="W23" s="15"/>
      <c r="X23" s="115" t="str">
        <f t="shared" si="2"/>
        <v>OK</v>
      </c>
      <c r="Y23" s="115" t="str">
        <f t="shared" si="3"/>
        <v>OK</v>
      </c>
      <c r="Z23" s="115" t="str">
        <f t="shared" si="4"/>
        <v>OK</v>
      </c>
      <c r="AA23" s="6"/>
      <c r="AB23" s="6"/>
      <c r="AC23" s="115" t="str">
        <f t="shared" si="5"/>
        <v>OK</v>
      </c>
      <c r="AD23" s="6"/>
      <c r="AE23" s="115" t="str">
        <f t="shared" si="6"/>
        <v>OK</v>
      </c>
    </row>
    <row r="24" spans="1:32" ht="20.100000000000001" customHeight="1" thickTop="1" thickBot="1">
      <c r="A24" s="163"/>
      <c r="B24" s="158" t="s">
        <v>48</v>
      </c>
      <c r="C24" s="114">
        <v>8</v>
      </c>
      <c r="D24" s="14"/>
      <c r="E24" s="14"/>
      <c r="F24" s="27">
        <f t="shared" si="0"/>
        <v>0</v>
      </c>
      <c r="G24" s="14"/>
      <c r="H24" s="14"/>
      <c r="I24" s="14"/>
      <c r="J24" s="25"/>
      <c r="K24" s="52">
        <f t="shared" si="1"/>
        <v>0</v>
      </c>
      <c r="L24" s="23"/>
      <c r="M24" s="13"/>
      <c r="N24" s="13"/>
      <c r="O24" s="13"/>
      <c r="P24" s="13"/>
      <c r="Q24" s="14"/>
      <c r="R24" s="13"/>
      <c r="S24" s="14"/>
      <c r="T24" s="27">
        <f>S24*0.5</f>
        <v>0</v>
      </c>
      <c r="U24" s="27">
        <f t="shared" si="7"/>
        <v>0</v>
      </c>
      <c r="V24" s="114">
        <v>8</v>
      </c>
      <c r="W24" s="15"/>
      <c r="X24" s="115" t="str">
        <f t="shared" si="2"/>
        <v>OK</v>
      </c>
      <c r="Y24" s="115" t="str">
        <f t="shared" si="3"/>
        <v>OK</v>
      </c>
      <c r="Z24" s="115" t="str">
        <f t="shared" si="4"/>
        <v>OK</v>
      </c>
      <c r="AA24" s="6"/>
      <c r="AB24" s="6"/>
      <c r="AC24" s="115" t="str">
        <f t="shared" si="5"/>
        <v>OK</v>
      </c>
      <c r="AD24" s="6"/>
      <c r="AE24" s="115" t="str">
        <f t="shared" si="6"/>
        <v>OK</v>
      </c>
    </row>
    <row r="25" spans="1:32" ht="20.100000000000001" customHeight="1" thickTop="1" thickBot="1">
      <c r="A25" s="163"/>
      <c r="B25" s="158" t="s">
        <v>50</v>
      </c>
      <c r="C25" s="114">
        <v>9</v>
      </c>
      <c r="D25" s="14"/>
      <c r="E25" s="14"/>
      <c r="F25" s="27">
        <f t="shared" si="0"/>
        <v>0</v>
      </c>
      <c r="G25" s="14"/>
      <c r="H25" s="14"/>
      <c r="I25" s="14"/>
      <c r="J25" s="25"/>
      <c r="K25" s="52">
        <f t="shared" si="1"/>
        <v>0</v>
      </c>
      <c r="L25" s="23"/>
      <c r="M25" s="13"/>
      <c r="N25" s="13"/>
      <c r="O25" s="13"/>
      <c r="P25" s="13"/>
      <c r="Q25" s="14"/>
      <c r="R25" s="13"/>
      <c r="S25" s="14"/>
      <c r="T25" s="27">
        <f>S25*0.5</f>
        <v>0</v>
      </c>
      <c r="U25" s="27">
        <f t="shared" si="7"/>
        <v>0</v>
      </c>
      <c r="V25" s="114">
        <v>9</v>
      </c>
      <c r="W25" s="15"/>
      <c r="X25" s="115" t="str">
        <f t="shared" si="2"/>
        <v>OK</v>
      </c>
      <c r="Y25" s="115" t="str">
        <f t="shared" si="3"/>
        <v>OK</v>
      </c>
      <c r="Z25" s="115" t="str">
        <f t="shared" si="4"/>
        <v>OK</v>
      </c>
      <c r="AA25" s="6"/>
      <c r="AB25" s="6"/>
      <c r="AC25" s="115" t="str">
        <f t="shared" si="5"/>
        <v>OK</v>
      </c>
      <c r="AD25" s="6"/>
      <c r="AE25" s="115" t="str">
        <f t="shared" si="6"/>
        <v>OK</v>
      </c>
    </row>
    <row r="26" spans="1:32" ht="20.100000000000001" customHeight="1" thickTop="1" thickBot="1">
      <c r="A26" s="163"/>
      <c r="B26" s="158" t="s">
        <v>552</v>
      </c>
      <c r="C26" s="114">
        <v>11</v>
      </c>
      <c r="D26" s="14"/>
      <c r="E26" s="14"/>
      <c r="F26" s="27">
        <f t="shared" si="0"/>
        <v>0</v>
      </c>
      <c r="G26" s="14"/>
      <c r="H26" s="14"/>
      <c r="I26" s="14"/>
      <c r="J26" s="25"/>
      <c r="K26" s="52">
        <f t="shared" si="1"/>
        <v>0</v>
      </c>
      <c r="L26" s="23"/>
      <c r="M26" s="13"/>
      <c r="N26" s="13"/>
      <c r="O26" s="13"/>
      <c r="P26" s="13"/>
      <c r="Q26" s="14"/>
      <c r="R26" s="13"/>
      <c r="S26" s="14"/>
      <c r="T26" s="27">
        <f>S26*0.75</f>
        <v>0</v>
      </c>
      <c r="U26" s="27">
        <f t="shared" si="7"/>
        <v>0</v>
      </c>
      <c r="V26" s="114">
        <v>11</v>
      </c>
      <c r="W26" s="15"/>
      <c r="X26" s="115" t="str">
        <f t="shared" si="2"/>
        <v>OK</v>
      </c>
      <c r="Y26" s="115" t="str">
        <f t="shared" si="3"/>
        <v>OK</v>
      </c>
      <c r="Z26" s="115" t="str">
        <f t="shared" si="4"/>
        <v>OK</v>
      </c>
      <c r="AA26" s="6"/>
      <c r="AB26" s="6"/>
      <c r="AC26" s="115" t="str">
        <f t="shared" si="5"/>
        <v>OK</v>
      </c>
      <c r="AD26" s="6"/>
      <c r="AE26" s="115" t="str">
        <f t="shared" si="6"/>
        <v>OK</v>
      </c>
    </row>
    <row r="27" spans="1:32" ht="20.100000000000001" customHeight="1" thickTop="1" thickBot="1">
      <c r="A27" s="163"/>
      <c r="B27" s="159" t="s">
        <v>49</v>
      </c>
      <c r="C27" s="280">
        <v>20</v>
      </c>
      <c r="D27" s="14"/>
      <c r="E27" s="14"/>
      <c r="F27" s="279">
        <f t="shared" si="0"/>
        <v>0</v>
      </c>
      <c r="G27" s="14"/>
      <c r="H27" s="14"/>
      <c r="I27" s="14"/>
      <c r="J27" s="25"/>
      <c r="K27" s="52">
        <f t="shared" si="1"/>
        <v>0</v>
      </c>
      <c r="L27" s="23"/>
      <c r="M27" s="13"/>
      <c r="N27" s="13"/>
      <c r="O27" s="13"/>
      <c r="P27" s="13"/>
      <c r="Q27" s="14"/>
      <c r="R27" s="13"/>
      <c r="S27" s="14"/>
      <c r="T27" s="279">
        <f>S27*0.75</f>
        <v>0</v>
      </c>
      <c r="U27" s="279">
        <f t="shared" si="7"/>
        <v>0</v>
      </c>
      <c r="V27" s="280">
        <v>20</v>
      </c>
      <c r="W27" s="15"/>
      <c r="X27" s="115" t="str">
        <f>IF(D27&gt;=0,"OK","ERROR")</f>
        <v>OK</v>
      </c>
      <c r="Y27" s="115" t="str">
        <f>IF(E27&lt;=0,"OK","ERROR")</f>
        <v>OK</v>
      </c>
      <c r="Z27" s="115" t="str">
        <f>IF(MIN(F27:N27)&gt;=0,"OK","ERROR")</f>
        <v>OK</v>
      </c>
      <c r="AA27" s="6"/>
      <c r="AB27" s="6"/>
      <c r="AC27" s="115" t="str">
        <f t="shared" si="5"/>
        <v>OK</v>
      </c>
      <c r="AD27" s="6"/>
      <c r="AE27" s="115" t="str">
        <f t="shared" si="6"/>
        <v>OK</v>
      </c>
    </row>
    <row r="28" spans="1:32" ht="19.5" customHeight="1" thickTop="1" thickBot="1">
      <c r="A28" s="163"/>
      <c r="B28" s="158" t="s">
        <v>51</v>
      </c>
      <c r="C28" s="114">
        <v>12</v>
      </c>
      <c r="D28" s="14"/>
      <c r="E28" s="14"/>
      <c r="F28" s="27">
        <f t="shared" si="0"/>
        <v>0</v>
      </c>
      <c r="G28" s="14"/>
      <c r="H28" s="14"/>
      <c r="I28" s="14"/>
      <c r="J28" s="25"/>
      <c r="K28" s="52">
        <f t="shared" si="1"/>
        <v>0</v>
      </c>
      <c r="L28" s="23"/>
      <c r="M28" s="13"/>
      <c r="N28" s="13"/>
      <c r="O28" s="13"/>
      <c r="P28" s="13"/>
      <c r="Q28" s="14"/>
      <c r="R28" s="13"/>
      <c r="S28" s="14"/>
      <c r="T28" s="27">
        <f>S28*1</f>
        <v>0</v>
      </c>
      <c r="U28" s="27">
        <f t="shared" si="7"/>
        <v>0</v>
      </c>
      <c r="V28" s="114">
        <v>12</v>
      </c>
      <c r="W28" s="15"/>
      <c r="X28" s="115" t="str">
        <f t="shared" si="2"/>
        <v>OK</v>
      </c>
      <c r="Y28" s="115" t="str">
        <f t="shared" si="3"/>
        <v>OK</v>
      </c>
      <c r="Z28" s="115" t="str">
        <f t="shared" si="4"/>
        <v>OK</v>
      </c>
      <c r="AA28" s="6"/>
      <c r="AB28" s="6"/>
      <c r="AC28" s="115" t="str">
        <f t="shared" si="5"/>
        <v>OK</v>
      </c>
      <c r="AD28" s="6"/>
      <c r="AE28" s="115" t="str">
        <f t="shared" si="6"/>
        <v>OK</v>
      </c>
    </row>
    <row r="29" spans="1:32" ht="19.5" customHeight="1" thickTop="1" thickBot="1">
      <c r="A29" s="163"/>
      <c r="B29" s="158" t="s">
        <v>50</v>
      </c>
      <c r="C29" s="114">
        <v>13</v>
      </c>
      <c r="D29" s="14"/>
      <c r="E29" s="14"/>
      <c r="F29" s="27">
        <f t="shared" si="0"/>
        <v>0</v>
      </c>
      <c r="G29" s="14"/>
      <c r="H29" s="14"/>
      <c r="I29" s="14"/>
      <c r="J29" s="25"/>
      <c r="K29" s="52">
        <f t="shared" si="1"/>
        <v>0</v>
      </c>
      <c r="L29" s="23"/>
      <c r="M29" s="13"/>
      <c r="N29" s="13"/>
      <c r="O29" s="13"/>
      <c r="P29" s="13"/>
      <c r="Q29" s="14"/>
      <c r="R29" s="13"/>
      <c r="S29" s="14"/>
      <c r="T29" s="27">
        <f>S29*1</f>
        <v>0</v>
      </c>
      <c r="U29" s="27">
        <f t="shared" si="7"/>
        <v>0</v>
      </c>
      <c r="V29" s="114">
        <v>13</v>
      </c>
      <c r="W29" s="15"/>
      <c r="X29" s="115" t="str">
        <f t="shared" si="2"/>
        <v>OK</v>
      </c>
      <c r="Y29" s="115" t="str">
        <f t="shared" si="3"/>
        <v>OK</v>
      </c>
      <c r="Z29" s="115" t="str">
        <f t="shared" si="4"/>
        <v>OK</v>
      </c>
      <c r="AA29" s="6"/>
      <c r="AB29" s="6"/>
      <c r="AC29" s="115" t="str">
        <f t="shared" si="5"/>
        <v>OK</v>
      </c>
      <c r="AD29" s="6"/>
      <c r="AE29" s="115" t="str">
        <f t="shared" si="6"/>
        <v>OK</v>
      </c>
    </row>
    <row r="30" spans="1:32" ht="19.5" customHeight="1" thickTop="1" thickBot="1">
      <c r="A30" s="163"/>
      <c r="B30" s="159" t="s">
        <v>49</v>
      </c>
      <c r="C30" s="114">
        <v>14</v>
      </c>
      <c r="D30" s="14"/>
      <c r="E30" s="14"/>
      <c r="F30" s="27">
        <f t="shared" si="0"/>
        <v>0</v>
      </c>
      <c r="G30" s="14"/>
      <c r="H30" s="14"/>
      <c r="I30" s="14"/>
      <c r="J30" s="25"/>
      <c r="K30" s="52">
        <f t="shared" si="1"/>
        <v>0</v>
      </c>
      <c r="L30" s="23"/>
      <c r="M30" s="13"/>
      <c r="N30" s="13"/>
      <c r="O30" s="13"/>
      <c r="P30" s="13"/>
      <c r="Q30" s="14"/>
      <c r="R30" s="13"/>
      <c r="S30" s="14"/>
      <c r="T30" s="27">
        <f>S30*1</f>
        <v>0</v>
      </c>
      <c r="U30" s="27">
        <f t="shared" si="7"/>
        <v>0</v>
      </c>
      <c r="V30" s="114">
        <v>14</v>
      </c>
      <c r="W30" s="15"/>
      <c r="X30" s="115" t="str">
        <f t="shared" si="2"/>
        <v>OK</v>
      </c>
      <c r="Y30" s="115" t="str">
        <f t="shared" si="3"/>
        <v>OK</v>
      </c>
      <c r="Z30" s="115" t="str">
        <f t="shared" si="4"/>
        <v>OK</v>
      </c>
      <c r="AA30" s="6"/>
      <c r="AB30" s="6"/>
      <c r="AC30" s="115" t="str">
        <f t="shared" si="5"/>
        <v>OK</v>
      </c>
      <c r="AD30" s="6"/>
      <c r="AE30" s="115" t="str">
        <f t="shared" si="6"/>
        <v>OK</v>
      </c>
    </row>
    <row r="31" spans="1:32" ht="19.5" customHeight="1" thickTop="1" thickBot="1">
      <c r="A31" s="163"/>
      <c r="B31" s="158" t="s">
        <v>52</v>
      </c>
      <c r="C31" s="114">
        <v>15</v>
      </c>
      <c r="D31" s="14"/>
      <c r="E31" s="14"/>
      <c r="F31" s="27">
        <f t="shared" si="0"/>
        <v>0</v>
      </c>
      <c r="G31" s="14"/>
      <c r="H31" s="14"/>
      <c r="I31" s="14"/>
      <c r="J31" s="25"/>
      <c r="K31" s="52">
        <f t="shared" si="1"/>
        <v>0</v>
      </c>
      <c r="L31" s="23"/>
      <c r="M31" s="13"/>
      <c r="N31" s="13"/>
      <c r="O31" s="13"/>
      <c r="P31" s="13"/>
      <c r="Q31" s="14"/>
      <c r="R31" s="13"/>
      <c r="S31" s="14"/>
      <c r="T31" s="27">
        <f>S31*1</f>
        <v>0</v>
      </c>
      <c r="U31" s="27">
        <f t="shared" si="7"/>
        <v>0</v>
      </c>
      <c r="V31" s="114">
        <v>15</v>
      </c>
      <c r="W31" s="15"/>
      <c r="X31" s="115" t="str">
        <f t="shared" si="2"/>
        <v>OK</v>
      </c>
      <c r="Y31" s="115" t="str">
        <f t="shared" si="3"/>
        <v>OK</v>
      </c>
      <c r="Z31" s="115" t="str">
        <f t="shared" si="4"/>
        <v>OK</v>
      </c>
      <c r="AA31" s="6"/>
      <c r="AB31" s="6"/>
      <c r="AC31" s="115" t="str">
        <f t="shared" si="5"/>
        <v>OK</v>
      </c>
      <c r="AD31" s="6"/>
      <c r="AE31" s="115" t="str">
        <f t="shared" si="6"/>
        <v>OK</v>
      </c>
    </row>
    <row r="32" spans="1:32" ht="19.5" customHeight="1" thickTop="1" thickBot="1">
      <c r="A32" s="163"/>
      <c r="B32" s="158" t="s">
        <v>53</v>
      </c>
      <c r="C32" s="114">
        <v>16</v>
      </c>
      <c r="D32" s="14"/>
      <c r="E32" s="14"/>
      <c r="F32" s="27">
        <f t="shared" si="0"/>
        <v>0</v>
      </c>
      <c r="G32" s="14"/>
      <c r="H32" s="14"/>
      <c r="I32" s="14"/>
      <c r="J32" s="25"/>
      <c r="K32" s="52">
        <f t="shared" si="1"/>
        <v>0</v>
      </c>
      <c r="L32" s="23"/>
      <c r="M32" s="13"/>
      <c r="N32" s="13"/>
      <c r="O32" s="13"/>
      <c r="P32" s="13"/>
      <c r="Q32" s="14"/>
      <c r="R32" s="13"/>
      <c r="S32" s="14"/>
      <c r="T32" s="27">
        <f>S32*1.5</f>
        <v>0</v>
      </c>
      <c r="U32" s="27">
        <f t="shared" si="7"/>
        <v>0</v>
      </c>
      <c r="V32" s="114">
        <v>16</v>
      </c>
      <c r="W32" s="15"/>
      <c r="X32" s="115" t="str">
        <f t="shared" si="2"/>
        <v>OK</v>
      </c>
      <c r="Y32" s="115" t="str">
        <f t="shared" si="3"/>
        <v>OK</v>
      </c>
      <c r="Z32" s="115" t="str">
        <f t="shared" si="4"/>
        <v>OK</v>
      </c>
      <c r="AA32" s="6"/>
      <c r="AB32" s="6"/>
      <c r="AC32" s="115" t="str">
        <f t="shared" si="5"/>
        <v>OK</v>
      </c>
      <c r="AD32" s="6"/>
      <c r="AE32" s="115" t="str">
        <f t="shared" si="6"/>
        <v>OK</v>
      </c>
    </row>
    <row r="33" spans="1:32" ht="19.5" customHeight="1" thickTop="1" thickBot="1">
      <c r="A33" s="163"/>
      <c r="B33" s="158" t="s">
        <v>52</v>
      </c>
      <c r="C33" s="114">
        <v>17</v>
      </c>
      <c r="D33" s="14"/>
      <c r="E33" s="14"/>
      <c r="F33" s="27">
        <f t="shared" si="0"/>
        <v>0</v>
      </c>
      <c r="G33" s="14"/>
      <c r="H33" s="14"/>
      <c r="I33" s="14"/>
      <c r="J33" s="25"/>
      <c r="K33" s="52">
        <f t="shared" si="1"/>
        <v>0</v>
      </c>
      <c r="L33" s="23"/>
      <c r="M33" s="13"/>
      <c r="N33" s="13"/>
      <c r="O33" s="13"/>
      <c r="P33" s="13"/>
      <c r="Q33" s="14"/>
      <c r="R33" s="13"/>
      <c r="S33" s="14"/>
      <c r="T33" s="27">
        <f>S33*1.5</f>
        <v>0</v>
      </c>
      <c r="U33" s="27">
        <f t="shared" si="7"/>
        <v>0</v>
      </c>
      <c r="V33" s="114">
        <v>17</v>
      </c>
      <c r="W33" s="15"/>
      <c r="X33" s="115" t="str">
        <f t="shared" si="2"/>
        <v>OK</v>
      </c>
      <c r="Y33" s="115" t="str">
        <f t="shared" si="3"/>
        <v>OK</v>
      </c>
      <c r="Z33" s="115" t="str">
        <f t="shared" si="4"/>
        <v>OK</v>
      </c>
      <c r="AA33" s="6"/>
      <c r="AB33" s="6"/>
      <c r="AC33" s="115" t="str">
        <f t="shared" si="5"/>
        <v>OK</v>
      </c>
      <c r="AD33" s="6"/>
      <c r="AE33" s="115" t="str">
        <f t="shared" si="6"/>
        <v>OK</v>
      </c>
    </row>
    <row r="34" spans="1:32" ht="20.100000000000001" customHeight="1" thickTop="1" thickBot="1">
      <c r="A34" s="163"/>
      <c r="B34" s="158">
        <v>3.5</v>
      </c>
      <c r="C34" s="114">
        <v>18</v>
      </c>
      <c r="D34" s="14"/>
      <c r="E34" s="14"/>
      <c r="F34" s="27">
        <f t="shared" si="0"/>
        <v>0</v>
      </c>
      <c r="G34" s="14"/>
      <c r="H34" s="14"/>
      <c r="I34" s="14"/>
      <c r="J34" s="25"/>
      <c r="K34" s="52">
        <f t="shared" si="1"/>
        <v>0</v>
      </c>
      <c r="L34" s="23"/>
      <c r="M34" s="13"/>
      <c r="N34" s="13"/>
      <c r="O34" s="13"/>
      <c r="P34" s="13"/>
      <c r="Q34" s="14"/>
      <c r="R34" s="13"/>
      <c r="S34" s="14"/>
      <c r="T34" s="27">
        <f>S34*3.5</f>
        <v>0</v>
      </c>
      <c r="U34" s="27">
        <f t="shared" si="7"/>
        <v>0</v>
      </c>
      <c r="V34" s="114">
        <v>18</v>
      </c>
      <c r="W34" s="15"/>
      <c r="X34" s="115" t="str">
        <f t="shared" si="2"/>
        <v>OK</v>
      </c>
      <c r="Y34" s="115" t="str">
        <f t="shared" si="3"/>
        <v>OK</v>
      </c>
      <c r="Z34" s="115" t="str">
        <f t="shared" si="4"/>
        <v>OK</v>
      </c>
      <c r="AA34" s="6"/>
      <c r="AB34" s="6"/>
      <c r="AC34" s="115" t="str">
        <f t="shared" si="5"/>
        <v>OK</v>
      </c>
      <c r="AD34" s="6"/>
      <c r="AE34" s="115" t="str">
        <f t="shared" si="6"/>
        <v>OK</v>
      </c>
    </row>
    <row r="35" spans="1:32" ht="6" customHeight="1" thickTop="1">
      <c r="A35" s="165"/>
      <c r="B35" s="168"/>
      <c r="C35" s="8"/>
      <c r="D35" s="128"/>
      <c r="E35" s="128"/>
      <c r="F35" s="128"/>
      <c r="G35" s="128"/>
      <c r="H35" s="128"/>
      <c r="I35" s="128"/>
      <c r="J35" s="128"/>
      <c r="K35" s="128"/>
      <c r="L35" s="128"/>
      <c r="M35" s="128"/>
      <c r="N35" s="128"/>
      <c r="O35" s="128"/>
      <c r="P35" s="128"/>
      <c r="Q35" s="128"/>
      <c r="R35" s="128"/>
      <c r="S35" s="128"/>
      <c r="T35" s="128"/>
      <c r="U35" s="128"/>
      <c r="V35" s="8"/>
      <c r="W35" s="149"/>
      <c r="X35" s="149"/>
      <c r="Y35" s="142"/>
      <c r="Z35" s="142"/>
      <c r="AA35" s="6"/>
      <c r="AB35" s="6"/>
      <c r="AC35" s="6"/>
      <c r="AD35" s="6"/>
      <c r="AE35" s="6"/>
      <c r="AF35" s="6"/>
    </row>
    <row r="36" spans="1:32" ht="15" customHeight="1">
      <c r="A36" s="85"/>
      <c r="B36" s="21" t="str">
        <f>"Version: "&amp;D43</f>
        <v>Version: 2.01.E0</v>
      </c>
      <c r="C36" s="85"/>
      <c r="D36" s="85"/>
      <c r="E36" s="85"/>
      <c r="F36" s="85"/>
      <c r="G36" s="85"/>
      <c r="H36" s="85"/>
      <c r="I36" s="85"/>
      <c r="J36" s="85"/>
      <c r="K36" s="85"/>
      <c r="L36" s="85"/>
      <c r="M36" s="85"/>
      <c r="N36" s="85"/>
      <c r="O36" s="85"/>
      <c r="P36" s="85"/>
      <c r="Q36" s="85"/>
      <c r="R36" s="85"/>
      <c r="S36" s="85"/>
      <c r="T36" s="85"/>
      <c r="U36" s="85"/>
      <c r="V36" s="171" t="s">
        <v>157</v>
      </c>
      <c r="W36" s="15"/>
      <c r="X36" s="15"/>
      <c r="Y36" s="149"/>
      <c r="Z36" s="149"/>
      <c r="AA36" s="6"/>
      <c r="AB36" s="6"/>
      <c r="AC36" s="6"/>
      <c r="AD36" s="6"/>
      <c r="AE36" s="6"/>
      <c r="AF36" s="6"/>
    </row>
    <row r="37" spans="1:32" ht="15" customHeight="1">
      <c r="A37"/>
      <c r="B37"/>
      <c r="C37"/>
      <c r="D37"/>
      <c r="E37"/>
      <c r="F37"/>
      <c r="G37"/>
      <c r="H37"/>
      <c r="I37"/>
      <c r="J37"/>
      <c r="K37"/>
      <c r="L37"/>
      <c r="M37"/>
      <c r="N37"/>
      <c r="O37"/>
      <c r="P37"/>
      <c r="Q37"/>
      <c r="R37"/>
      <c r="S37"/>
      <c r="T37"/>
      <c r="U37"/>
      <c r="V37" s="6"/>
      <c r="W37" s="15"/>
      <c r="X37" s="15"/>
      <c r="Y37" s="15"/>
      <c r="Z37" s="15"/>
    </row>
    <row r="38" spans="1:32" ht="15" customHeight="1">
      <c r="Q38" s="57"/>
      <c r="S38" s="57"/>
      <c r="V38" s="6"/>
    </row>
    <row r="39" spans="1:32" ht="15" customHeight="1">
      <c r="Q39" s="57"/>
      <c r="S39" s="57"/>
    </row>
    <row r="40" spans="1:32" ht="15" customHeight="1">
      <c r="B40" s="3"/>
      <c r="C40" s="31" t="s">
        <v>94</v>
      </c>
      <c r="D40" s="16" t="str">
        <f>U2</f>
        <v>XXXXXX</v>
      </c>
    </row>
    <row r="41" spans="1:32" ht="15" customHeight="1">
      <c r="B41" s="5"/>
      <c r="D41" s="17" t="str">
        <f>U1</f>
        <v>CSIB_CRSABIS_07</v>
      </c>
    </row>
    <row r="42" spans="1:32" ht="15" customHeight="1">
      <c r="B42" s="5"/>
      <c r="D42" s="18" t="str">
        <f>U3</f>
        <v>DD.MM.YYYY</v>
      </c>
    </row>
    <row r="43" spans="1:32" ht="15" customHeight="1">
      <c r="B43" s="19"/>
      <c r="D43" s="20" t="s">
        <v>551</v>
      </c>
    </row>
    <row r="44" spans="1:32" ht="15" customHeight="1">
      <c r="B44" s="5"/>
      <c r="D44" s="17" t="str">
        <f>D13</f>
        <v>col. 01</v>
      </c>
    </row>
    <row r="45" spans="1:32" ht="15" customHeight="1">
      <c r="B45" s="10"/>
      <c r="C45" s="8"/>
      <c r="D45" s="59">
        <f>COUNTIF(D49:U54,"ERROR")+COUNTIF(X14:AE35,"ERROR")</f>
        <v>0</v>
      </c>
    </row>
    <row r="46" spans="1:32" ht="16.5" customHeight="1">
      <c r="B46" s="6"/>
      <c r="C46" s="7"/>
      <c r="D46" s="58"/>
    </row>
    <row r="47" spans="1:32">
      <c r="B47" s="6"/>
      <c r="C47" s="7"/>
      <c r="D47" s="56"/>
    </row>
    <row r="48" spans="1:32">
      <c r="D48" s="166" t="s">
        <v>95</v>
      </c>
      <c r="E48" s="166" t="s">
        <v>96</v>
      </c>
      <c r="F48" s="166" t="s">
        <v>97</v>
      </c>
      <c r="G48" s="166" t="s">
        <v>98</v>
      </c>
      <c r="H48" s="166" t="s">
        <v>99</v>
      </c>
      <c r="I48" s="166" t="s">
        <v>100</v>
      </c>
      <c r="J48" s="166" t="s">
        <v>101</v>
      </c>
      <c r="K48" s="166" t="s">
        <v>102</v>
      </c>
      <c r="L48" s="166" t="s">
        <v>103</v>
      </c>
      <c r="M48" s="166" t="s">
        <v>104</v>
      </c>
      <c r="N48" s="166" t="s">
        <v>105</v>
      </c>
      <c r="O48" s="166" t="s">
        <v>106</v>
      </c>
      <c r="P48" s="166" t="s">
        <v>107</v>
      </c>
      <c r="Q48" s="166" t="s">
        <v>108</v>
      </c>
      <c r="R48" s="166" t="s">
        <v>109</v>
      </c>
      <c r="S48" s="166" t="s">
        <v>110</v>
      </c>
      <c r="T48" s="166" t="s">
        <v>111</v>
      </c>
      <c r="U48" s="166" t="s">
        <v>112</v>
      </c>
      <c r="V48" s="85"/>
      <c r="W48" s="85"/>
    </row>
    <row r="49" spans="2:23">
      <c r="B49" s="288" t="s">
        <v>547</v>
      </c>
      <c r="C49" s="54"/>
      <c r="D49" s="115" t="str">
        <f>IF(ROUND(D17+D16,0)=ROUND(D14,0),"OK","ERROR")</f>
        <v>OK</v>
      </c>
      <c r="E49" s="115" t="str">
        <f>IF(ROUND(E17+E16,0)=ROUND(E14,0),"OK","ERROR")</f>
        <v>OK</v>
      </c>
      <c r="F49" s="115" t="str">
        <f>IF(ROUND(F17+F16,0)=ROUND(F14,0),"OK","ERROR")</f>
        <v>OK</v>
      </c>
      <c r="G49" s="115" t="str">
        <f>IF(ROUND(G17,0)=ROUND(G14,0),"OK","ERROR")</f>
        <v>OK</v>
      </c>
      <c r="H49" s="115" t="str">
        <f>IF(ROUND(H17,0)=ROUND(H14,0),"OK","ERROR")</f>
        <v>OK</v>
      </c>
      <c r="I49" s="115" t="str">
        <f>IF(ROUND(I17,0)=ROUND(I14,0),"OK","ERROR")</f>
        <v>OK</v>
      </c>
      <c r="J49" s="115" t="str">
        <f>IF(ROUND(J17,0)=ROUND(J14,0),"OK","ERROR")</f>
        <v>OK</v>
      </c>
      <c r="K49" s="115" t="str">
        <f>IF(AND(ROUND(K16+K17,0)=ROUND(K14,0),ROUND(K14,0)=ROUND(K19+K20+K21+K23+K24+K26+K28+K32+K34,0)),"OK","ERROR")</f>
        <v>OK</v>
      </c>
      <c r="L49" s="85"/>
      <c r="M49" s="85"/>
      <c r="N49" s="85"/>
      <c r="O49" s="85"/>
      <c r="P49" s="85"/>
      <c r="Q49" s="115" t="str">
        <f>IF(AND(ROUND(Q17+Q16,0)=ROUND(Q14,0),ROUND(K14+O14+P14,0)=ROUND(Q14,0)),"OK","ERROR")</f>
        <v>OK</v>
      </c>
      <c r="R49" s="85"/>
      <c r="S49" s="115" t="str">
        <f>IF(AND(ROUND(S17+S16,0)=ROUND(S14,0),ROUND(Q14+R14,0)=ROUND(S14,0)),"OK","ERROR")</f>
        <v>OK</v>
      </c>
      <c r="T49" s="115" t="str">
        <f>IF(ROUND(T17+T16,0)=ROUND(T14,0),"OK","ERROR")</f>
        <v>OK</v>
      </c>
      <c r="U49" s="115" t="str">
        <f>IF(ROUND(U17+U16,0)=ROUND(U14,0),"OK","ERROR")</f>
        <v>OK</v>
      </c>
      <c r="V49" s="85"/>
      <c r="W49" s="85"/>
    </row>
    <row r="50" spans="2:23">
      <c r="B50" s="288" t="s">
        <v>548</v>
      </c>
      <c r="C50" s="55"/>
      <c r="D50" s="115" t="str">
        <f>IF(ROUND(D22,0)&lt;=ROUND(D21,0),"OK","ERROR")</f>
        <v>OK</v>
      </c>
      <c r="E50" s="115" t="str">
        <f>IF(ROUND(E22,0)&gt;=ROUND(E21,0),"OK","ERROR")</f>
        <v>OK</v>
      </c>
      <c r="F50" s="115" t="str">
        <f t="shared" ref="F50:K50" si="8">IF(ROUND(F22,0)&lt;=ROUND(F21,0),"OK","ERROR")</f>
        <v>OK</v>
      </c>
      <c r="G50" s="115" t="str">
        <f t="shared" si="8"/>
        <v>OK</v>
      </c>
      <c r="H50" s="115" t="str">
        <f t="shared" si="8"/>
        <v>OK</v>
      </c>
      <c r="I50" s="115" t="str">
        <f t="shared" si="8"/>
        <v>OK</v>
      </c>
      <c r="J50" s="115" t="str">
        <f t="shared" si="8"/>
        <v>OK</v>
      </c>
      <c r="K50" s="115" t="str">
        <f t="shared" si="8"/>
        <v>OK</v>
      </c>
      <c r="L50" s="85"/>
      <c r="M50" s="85"/>
      <c r="N50" s="85"/>
      <c r="O50" s="85"/>
      <c r="P50" s="85"/>
      <c r="Q50" s="115" t="str">
        <f>IF(ROUND(Q22,0)&lt;=ROUND(Q21,0),"OK","ERROR")</f>
        <v>OK</v>
      </c>
      <c r="R50" s="85"/>
      <c r="S50" s="115" t="str">
        <f>IF(ROUND(S22,0)&lt;=ROUND(S21,0),"OK","ERROR")</f>
        <v>OK</v>
      </c>
      <c r="T50" s="115" t="str">
        <f>IF(ROUND(T22,0)&lt;=ROUND(T21,0),"OK","ERROR")</f>
        <v>OK</v>
      </c>
      <c r="U50" s="115" t="str">
        <f>IF(ROUND(U22,0)&lt;=ROUND(U21,0),"OK","ERROR")</f>
        <v>OK</v>
      </c>
      <c r="V50" s="85"/>
      <c r="W50" s="85"/>
    </row>
    <row r="51" spans="2:23">
      <c r="B51" s="288" t="s">
        <v>549</v>
      </c>
      <c r="C51" s="55"/>
      <c r="D51" s="115" t="str">
        <f>IF(ROUND(D25,0)&lt;=ROUND(D24,0),"OK","ERROR")</f>
        <v>OK</v>
      </c>
      <c r="E51" s="115" t="str">
        <f>IF(ROUND(E25,0)&gt;=ROUND(E24,0),"OK","ERROR")</f>
        <v>OK</v>
      </c>
      <c r="F51" s="115" t="str">
        <f t="shared" ref="F51:K51" si="9">IF(ROUND(F25,0)&lt;=ROUND(F24,0),"OK","ERROR")</f>
        <v>OK</v>
      </c>
      <c r="G51" s="115" t="str">
        <f t="shared" si="9"/>
        <v>OK</v>
      </c>
      <c r="H51" s="115" t="str">
        <f t="shared" si="9"/>
        <v>OK</v>
      </c>
      <c r="I51" s="115" t="str">
        <f t="shared" si="9"/>
        <v>OK</v>
      </c>
      <c r="J51" s="115" t="str">
        <f t="shared" si="9"/>
        <v>OK</v>
      </c>
      <c r="K51" s="115" t="str">
        <f t="shared" si="9"/>
        <v>OK</v>
      </c>
      <c r="L51" s="278"/>
      <c r="M51" s="278"/>
      <c r="N51" s="278"/>
      <c r="O51" s="278"/>
      <c r="P51" s="278"/>
      <c r="Q51" s="115" t="str">
        <f>IF(ROUND(Q25,0)&lt;=ROUND(Q24,0),"OK","ERROR")</f>
        <v>OK</v>
      </c>
      <c r="R51" s="278"/>
      <c r="S51" s="115" t="str">
        <f>IF(ROUND(S25,0)&lt;=ROUND(S24,0),"OK","ERROR")</f>
        <v>OK</v>
      </c>
      <c r="T51" s="115" t="str">
        <f>IF(ROUND(T25,0)&lt;=ROUND(T24,0),"OK","ERROR")</f>
        <v>OK</v>
      </c>
      <c r="U51" s="115" t="str">
        <f>IF(ROUND(U25,0)&lt;=ROUND(U24,0),"OK","ERROR")</f>
        <v>OK</v>
      </c>
      <c r="V51" s="85"/>
      <c r="W51" s="85"/>
    </row>
    <row r="52" spans="2:23">
      <c r="B52" s="288" t="s">
        <v>553</v>
      </c>
      <c r="C52" s="55"/>
      <c r="D52" s="115" t="str">
        <f>IF(ROUND(D27,0)&lt;=ROUND(D26,0),"OK","ERROR")</f>
        <v>OK</v>
      </c>
      <c r="E52" s="115" t="str">
        <f>IF(ROUND(E27,0)&gt;=ROUND(E26,0),"OK","ERROR")</f>
        <v>OK</v>
      </c>
      <c r="F52" s="115" t="str">
        <f t="shared" ref="F52:K52" si="10">IF(ROUND(F27,0)&lt;=ROUND(F26,0),"OK","ERROR")</f>
        <v>OK</v>
      </c>
      <c r="G52" s="115" t="str">
        <f t="shared" si="10"/>
        <v>OK</v>
      </c>
      <c r="H52" s="115" t="str">
        <f t="shared" si="10"/>
        <v>OK</v>
      </c>
      <c r="I52" s="115" t="str">
        <f t="shared" si="10"/>
        <v>OK</v>
      </c>
      <c r="J52" s="115" t="str">
        <f t="shared" si="10"/>
        <v>OK</v>
      </c>
      <c r="K52" s="115" t="str">
        <f t="shared" si="10"/>
        <v>OK</v>
      </c>
      <c r="L52" s="278"/>
      <c r="M52" s="278"/>
      <c r="N52" s="278"/>
      <c r="O52" s="278"/>
      <c r="P52" s="278"/>
      <c r="Q52" s="115" t="str">
        <f>IF(ROUND(Q27,0)&lt;=ROUND(Q26,0),"OK","ERROR")</f>
        <v>OK</v>
      </c>
      <c r="R52" s="278"/>
      <c r="S52" s="115" t="str">
        <f>IF(ROUND(S27,0)&lt;=ROUND(S26,0),"OK","ERROR")</f>
        <v>OK</v>
      </c>
      <c r="T52" s="115" t="str">
        <f>IF(ROUND(T27,0)&lt;=ROUND(T26,0),"OK","ERROR")</f>
        <v>OK</v>
      </c>
      <c r="U52" s="115" t="str">
        <f>IF(ROUND(U27,0)&lt;=ROUND(U26,0),"OK","ERROR")</f>
        <v>OK</v>
      </c>
      <c r="V52" s="278"/>
      <c r="W52" s="278"/>
    </row>
    <row r="53" spans="2:23">
      <c r="B53" s="290"/>
      <c r="C53" s="278"/>
      <c r="D53" s="278"/>
      <c r="E53" s="278"/>
      <c r="F53" s="278"/>
      <c r="G53" s="278"/>
      <c r="H53" s="278"/>
      <c r="I53" s="278"/>
      <c r="J53" s="278"/>
      <c r="K53" s="278"/>
      <c r="L53" s="278"/>
      <c r="M53" s="278"/>
      <c r="N53" s="278"/>
      <c r="O53" s="278"/>
      <c r="P53" s="278"/>
      <c r="Q53" s="278"/>
      <c r="R53" s="278"/>
      <c r="S53" s="278"/>
      <c r="T53" s="278"/>
      <c r="U53" s="278"/>
      <c r="V53" s="85"/>
      <c r="W53" s="85"/>
    </row>
    <row r="54" spans="2:23">
      <c r="B54" s="288" t="s">
        <v>550</v>
      </c>
      <c r="C54" s="55"/>
      <c r="D54" s="115" t="str">
        <f>IF(ROUND(D33,0)&lt;=ROUND(D32,0),"OK","ERROR")</f>
        <v>OK</v>
      </c>
      <c r="E54" s="115" t="str">
        <f>IF(ROUND(E33,0)&gt;=ROUND(E32,0),"OK","ERROR")</f>
        <v>OK</v>
      </c>
      <c r="F54" s="115" t="str">
        <f t="shared" ref="F54:K54" si="11">IF(ROUND(F33,0)&lt;=ROUND(F32,0),"OK","ERROR")</f>
        <v>OK</v>
      </c>
      <c r="G54" s="115" t="str">
        <f t="shared" si="11"/>
        <v>OK</v>
      </c>
      <c r="H54" s="115" t="str">
        <f t="shared" si="11"/>
        <v>OK</v>
      </c>
      <c r="I54" s="115" t="str">
        <f t="shared" si="11"/>
        <v>OK</v>
      </c>
      <c r="J54" s="115" t="str">
        <f t="shared" si="11"/>
        <v>OK</v>
      </c>
      <c r="K54" s="115" t="str">
        <f t="shared" si="11"/>
        <v>OK</v>
      </c>
      <c r="L54" s="85"/>
      <c r="M54" s="85"/>
      <c r="N54" s="85"/>
      <c r="O54" s="85"/>
      <c r="P54" s="85"/>
      <c r="Q54" s="115" t="str">
        <f>IF(ROUND(Q33,0)&lt;=ROUND(Q32,0),"OK","ERROR")</f>
        <v>OK</v>
      </c>
      <c r="R54" s="85"/>
      <c r="S54" s="115" t="str">
        <f>IF(ROUND(S33,0)&lt;=ROUND(S32,0),"OK","ERROR")</f>
        <v>OK</v>
      </c>
      <c r="T54" s="115" t="str">
        <f>IF(ROUND(T33,0)&lt;=ROUND(T32,0),"OK","ERROR")</f>
        <v>OK</v>
      </c>
      <c r="U54" s="115" t="str">
        <f>IF(ROUND(U33,0)&lt;=ROUND(U32,0),"OK","ERROR")</f>
        <v>OK</v>
      </c>
      <c r="V54" s="85"/>
      <c r="W54" s="85"/>
    </row>
    <row r="55" spans="2:23">
      <c r="V55" s="85"/>
      <c r="W55" s="85"/>
    </row>
  </sheetData>
  <sheetProtection sheet="1" objects="1" scenarios="1"/>
  <customSheetViews>
    <customSheetView guid="{4435029F-2F1B-45E2-BFDE-13E66716A0E9}" scale="80" showGridLines="0" showRowCol="0" zeroValues="0">
      <pane xSplit="3" ySplit="13" topLeftCell="D14" activePane="bottomRight" state="frozen"/>
      <selection pane="bottomRight" activeCell="L14" sqref="L14"/>
      <colBreaks count="1" manualBreakCount="1">
        <brk id="11" max="34" man="1"/>
      </colBreaks>
      <pageMargins left="0.39370078740157483" right="0.39370078740157483" top="0.39370078740157483" bottom="0.39370078740157483" header="0.19685039370078741" footer="0"/>
      <pageSetup paperSize="9" scale="54" orientation="landscape" r:id="rId1"/>
      <headerFooter alignWithMargins="0">
        <oddFooter>&amp;L&amp;"Arial,Fett"SNB Confidential&amp;C&amp;D&amp;RPage &amp;P</oddFooter>
      </headerFooter>
    </customSheetView>
  </customSheetViews>
  <mergeCells count="2">
    <mergeCell ref="E2:I2"/>
    <mergeCell ref="M2:Q2"/>
  </mergeCells>
  <phoneticPr fontId="10" type="noConversion"/>
  <conditionalFormatting sqref="D25">
    <cfRule type="cellIs" dxfId="0" priority="3" stopIfTrue="1" operator="equal">
      <formula>$D$49="ERROR"</formula>
    </cfRule>
  </conditionalFormatting>
  <pageMargins left="0.39370078740157483" right="0.39370078740157483" top="0.39370078740157483" bottom="0.39370078740157483" header="0.19685039370078741" footer="0"/>
  <pageSetup paperSize="9" scale="54" orientation="landscape" r:id="rId2"/>
  <headerFooter alignWithMargins="0">
    <oddFooter>&amp;L&amp;"Arial,Fett"SNB Confidential&amp;C&amp;D&amp;RPage &amp;P</oddFooter>
  </headerFooter>
  <colBreaks count="1" manualBreakCount="1">
    <brk id="11" max="34" man="1"/>
  </col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D2F1A9EF0CD26458704E34F920B1F40" ma:contentTypeVersion="5" ma:contentTypeDescription="Create a new document." ma:contentTypeScope="" ma:versionID="1cde857890c7bab8fb199ec3ebd63598">
  <xsd:schema xmlns:xsd="http://www.w3.org/2001/XMLSchema" xmlns:xs="http://www.w3.org/2001/XMLSchema" xmlns:p="http://schemas.microsoft.com/office/2006/metadata/properties" xmlns:ns2="5f0592f7-ddc3-4725-828f-13a4b1adedb7" xmlns:ns3="a51d903e-b287-4697-a864-dff44a858ca1" targetNamespace="http://schemas.microsoft.com/office/2006/metadata/properties" ma:root="true" ma:fieldsID="3e3c0199e51e5839eec4e66187afcf2e" ns2:_="" ns3:_="">
    <xsd:import namespace="5f0592f7-ddc3-4725-828f-13a4b1adedb7"/>
    <xsd:import namespace="a51d903e-b287-4697-a864-dff44a858ca1"/>
    <xsd:element name="properties">
      <xsd:complexType>
        <xsd:sequence>
          <xsd:element name="documentManagement">
            <xsd:complexType>
              <xsd:all>
                <xsd:element ref="ns2:K_x00fc_rzel" minOccurs="0"/>
                <xsd:element ref="ns2:Titel" minOccurs="0"/>
                <xsd:element ref="ns2:Beschreibung1" minOccurs="0"/>
                <xsd:element ref="ns2:Beschreibung" minOccurs="0"/>
                <xsd:element ref="ns2:Sprache" minOccurs="0"/>
                <xsd:element ref="ns2:G_x00fc_ltigkeitsdatum" minOccurs="0"/>
                <xsd:element ref="ns2:G_x00fc_ltigkeitsdatumBis" minOccurs="0"/>
                <xsd:element ref="ns2:Sortierung" minOccurs="0"/>
                <xsd:element ref="ns2:PublikationVon" minOccurs="0"/>
                <xsd:element ref="ns2:PublikationBis" minOccurs="0"/>
                <xsd:element ref="ns2:Beschreibung0" minOccurs="0"/>
                <xsd:element ref="ns2:Version0" minOccurs="0"/>
                <xsd:element ref="ns2:In_x0020_Arbeit" minOccurs="0"/>
                <xsd:element ref="ns3:zuArchivieren" minOccurs="0"/>
                <xsd:element ref="ns3:ZIP_x0020_Anzei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0592f7-ddc3-4725-828f-13a4b1adedb7" elementFormDefault="qualified">
    <xsd:import namespace="http://schemas.microsoft.com/office/2006/documentManagement/types"/>
    <xsd:import namespace="http://schemas.microsoft.com/office/infopath/2007/PartnerControls"/>
    <xsd:element name="K_x00fc_rzel" ma:index="1" nillable="true" ma:displayName="Kürzel" ma:internalName="K_x00fc_rzel">
      <xsd:simpleType>
        <xsd:restriction base="dms:Text">
          <xsd:maxLength value="255"/>
        </xsd:restriction>
      </xsd:simpleType>
    </xsd:element>
    <xsd:element name="Titel" ma:index="2" nillable="true" ma:displayName="Titel" ma:internalName="Titel">
      <xsd:simpleType>
        <xsd:restriction base="dms:Text">
          <xsd:maxLength value="255"/>
        </xsd:restriction>
      </xsd:simpleType>
    </xsd:element>
    <xsd:element name="Beschreibung1" ma:index="3" nillable="true" ma:displayName="Kategorie" ma:format="Dropdown" ma:indexed="true" ma:internalName="Beschreibung1">
      <xsd:simpleType>
        <xsd:union memberTypes="dms:Text">
          <xsd:simpleType>
            <xsd:restriction base="dms:Choice">
              <xsd:enumeration value="forms"/>
              <xsd:enumeration value="CSV"/>
              <xsd:enumeration value="XML-scheme"/>
              <xsd:enumeration value="XML sample"/>
              <xsd:enumeration value="form title"/>
              <xsd:enumeration value="guidelines"/>
              <xsd:enumeration value="letter"/>
              <xsd:enumeration value="others"/>
              <xsd:enumeration value="regulations"/>
              <xsd:enumeration value="release"/>
              <xsd:enumeration value="validation rules"/>
            </xsd:restriction>
          </xsd:simpleType>
        </xsd:union>
      </xsd:simpleType>
    </xsd:element>
    <xsd:element name="Beschreibung" ma:index="4" nillable="true" ma:displayName="Version/Release" ma:default="Release" ma:format="Dropdown" ma:internalName="Beschreibung">
      <xsd:simpleType>
        <xsd:restriction base="dms:Choice">
          <xsd:enumeration value="Version"/>
          <xsd:enumeration value="no Version available"/>
          <xsd:enumeration value="Release"/>
        </xsd:restriction>
      </xsd:simpleType>
    </xsd:element>
    <xsd:element name="Sprache" ma:index="5" nillable="true" ma:displayName="Sprache" ma:default="de" ma:format="Dropdown" ma:internalName="Sprache">
      <xsd:simpleType>
        <xsd:union memberTypes="dms:Text">
          <xsd:simpleType>
            <xsd:restriction base="dms:Choice">
              <xsd:enumeration value="de"/>
              <xsd:enumeration value="fr"/>
              <xsd:enumeration value="en"/>
            </xsd:restriction>
          </xsd:simpleType>
        </xsd:union>
      </xsd:simpleType>
    </xsd:element>
    <xsd:element name="G_x00fc_ltigkeitsdatum" ma:index="6" nillable="true" ma:displayName="DatumVon" ma:description="Gültigkeitsdatum von" ma:format="DateOnly" ma:internalName="G_x00fc_ltigkeitsdatum" ma:readOnly="false">
      <xsd:simpleType>
        <xsd:restriction base="dms:DateTime"/>
      </xsd:simpleType>
    </xsd:element>
    <xsd:element name="G_x00fc_ltigkeitsdatumBis" ma:index="7" nillable="true" ma:displayName="DatumBis" ma:description="Gültigkeitsdatum bis (leer für unbestimmt)" ma:format="DateOnly" ma:internalName="G_x00fc_ltigkeitsdatumBis">
      <xsd:simpleType>
        <xsd:restriction base="dms:DateTime"/>
      </xsd:simpleType>
    </xsd:element>
    <xsd:element name="Sortierung" ma:index="8" nillable="true" ma:displayName="Sortierung" ma:description="0 = Automatische Sortierung (alphabetisch nach Kürzel)" ma:internalName="Sortierung">
      <xsd:simpleType>
        <xsd:restriction base="dms:Number">
          <xsd:maxInclusive value="9999"/>
          <xsd:minInclusive value="0"/>
        </xsd:restriction>
      </xsd:simpleType>
    </xsd:element>
    <xsd:element name="PublikationVon" ma:index="9" nillable="true" ma:displayName="PublikationVon" ma:description="Bitte nicht editieren. Wird für die Release-Zips automatisch gesetzt bei deren Erstellung." ma:format="DateOnly" ma:internalName="PublikationVon">
      <xsd:simpleType>
        <xsd:restriction base="dms:DateTime"/>
      </xsd:simpleType>
    </xsd:element>
    <xsd:element name="PublikationBis" ma:index="10" nillable="true" ma:displayName="PublikationBis" ma:description="Bitte nicht editieren. Wird für die Release-Zips automatisch gesetzt bei deren Erstellung." ma:format="DateOnly" ma:internalName="PublikationBis">
      <xsd:simpleType>
        <xsd:restriction base="dms:DateTime"/>
      </xsd:simpleType>
    </xsd:element>
    <xsd:element name="Beschreibung0" ma:index="11" nillable="true" ma:displayName="Beschreibung" ma:internalName="Beschreibung0">
      <xsd:simpleType>
        <xsd:restriction base="dms:Note">
          <xsd:maxLength value="255"/>
        </xsd:restriction>
      </xsd:simpleType>
    </xsd:element>
    <xsd:element name="Version0" ma:index="12" nillable="true" ma:displayName="VersionIntern" ma:description="DO NOT enter or change any data. It is used for release zip files internally." ma:indexed="true" ma:internalName="Version0">
      <xsd:simpleType>
        <xsd:restriction base="dms:Text">
          <xsd:maxLength value="255"/>
        </xsd:restriction>
      </xsd:simpleType>
    </xsd:element>
    <xsd:element name="In_x0020_Arbeit" ma:index="22" nillable="true" ma:displayName="Status" ma:default="in Arbeit" ma:format="RadioButtons" ma:internalName="In_x0020_Arbeit">
      <xsd:simpleType>
        <xsd:union memberTypes="dms:Text">
          <xsd:simpleType>
            <xsd:restriction base="dms:Choice">
              <xsd:enumeration value="in Arbeit"/>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51d903e-b287-4697-a864-dff44a858ca1" elementFormDefault="qualified">
    <xsd:import namespace="http://schemas.microsoft.com/office/2006/documentManagement/types"/>
    <xsd:import namespace="http://schemas.microsoft.com/office/infopath/2007/PartnerControls"/>
    <xsd:element name="zuArchivieren" ma:index="23" nillable="true" ma:displayName="zu archivieren" ma:default="no" ma:format="Dropdown" ma:indexed="true" ma:internalName="zuArchivieren">
      <xsd:simpleType>
        <xsd:restriction base="dms:Choice">
          <xsd:enumeration value="yes"/>
          <xsd:enumeration value="no"/>
        </xsd:restriction>
      </xsd:simpleType>
    </xsd:element>
    <xsd:element name="ZIP_x0020_Anzeige" ma:index="24" nillable="true" ma:displayName="ZIP Anzeige unterdrücken" ma:default="0" ma:internalName="ZIP_x0020_Anzeig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K_x00fc_rzel xmlns="5f0592f7-ddc3-4725-828f-13a4b1adedb7">CSIB_CRSABIS_Exc</K_x00fc_rzel>
    <ZIP_x0020_Anzeige xmlns="a51d903e-b287-4697-a864-dff44a858ca1">false</ZIP_x0020_Anzeige>
    <Titel xmlns="5f0592f7-ddc3-4725-828f-13a4b1adedb7">CSIB_CASABISIRB, _CRSABIS_01...07, _CRFUNDS, _LERA_BIS, _MKR_BIS</Titel>
    <PublikationBis xmlns="5f0592f7-ddc3-4725-828f-13a4b1adedb7" xsi:nil="true"/>
    <In_x0020_Arbeit xmlns="5f0592f7-ddc3-4725-828f-13a4b1adedb7">in Arbeit</In_x0020_Arbeit>
    <Sprache xmlns="5f0592f7-ddc3-4725-828f-13a4b1adedb7">en</Sprache>
    <Beschreibung xmlns="5f0592f7-ddc3-4725-828f-13a4b1adedb7">Release</Beschreibung>
    <Version0 xmlns="5f0592f7-ddc3-4725-828f-13a4b1adedb7" xsi:nil="true"/>
    <Sortierung xmlns="5f0592f7-ddc3-4725-828f-13a4b1adedb7">4</Sortierung>
    <Beschreibung0 xmlns="5f0592f7-ddc3-4725-828f-13a4b1adedb7">&lt;div&gt;&lt;/div&gt;</Beschreibung0>
    <Beschreibung1 xmlns="5f0592f7-ddc3-4725-828f-13a4b1adedb7">forms</Beschreibung1>
    <PublikationVon xmlns="5f0592f7-ddc3-4725-828f-13a4b1adedb7" xsi:nil="true"/>
    <zuArchivieren xmlns="a51d903e-b287-4697-a864-dff44a858ca1">no</zuArchivieren>
    <G_x00fc_ltigkeitsdatum xmlns="5f0592f7-ddc3-4725-828f-13a4b1adedb7">2023-12-30T23:00:00+00:00</G_x00fc_ltigkeitsdatum>
    <G_x00fc_ltigkeitsdatumBis xmlns="5f0592f7-ddc3-4725-828f-13a4b1adedb7" xsi:nil="true"/>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744657-53FA-45AC-B712-04BB6824D3D8}"/>
</file>

<file path=customXml/itemProps2.xml><?xml version="1.0" encoding="utf-8"?>
<ds:datastoreItem xmlns:ds="http://schemas.openxmlformats.org/officeDocument/2006/customXml" ds:itemID="{0246F2E5-6E5B-4297-8070-8DA2ECC86B23}">
  <ds:schemaRefs>
    <ds:schemaRef ds:uri="http://purl.org/dc/terms/"/>
    <ds:schemaRef ds:uri="http://schemas.openxmlformats.org/package/2006/metadata/core-properties"/>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purl.org/dc/elements/1.1/"/>
    <ds:schemaRef ds:uri="a51d903e-b287-4697-a864-dff44a858ca1"/>
    <ds:schemaRef ds:uri="5f0592f7-ddc3-4725-828f-13a4b1adedb7"/>
    <ds:schemaRef ds:uri="http://purl.org/dc/dcmitype/"/>
  </ds:schemaRefs>
</ds:datastoreItem>
</file>

<file path=customXml/itemProps3.xml><?xml version="1.0" encoding="utf-8"?>
<ds:datastoreItem xmlns:ds="http://schemas.openxmlformats.org/officeDocument/2006/customXml" ds:itemID="{27271C93-149F-4F40-A8F8-8F07C1E7EF5E}">
  <ds:schemaRefs>
    <ds:schemaRef ds:uri="http://schemas.microsoft.com/office/2006/metadata/longProperties"/>
  </ds:schemaRefs>
</ds:datastoreItem>
</file>

<file path=customXml/itemProps4.xml><?xml version="1.0" encoding="utf-8"?>
<ds:datastoreItem xmlns:ds="http://schemas.openxmlformats.org/officeDocument/2006/customXml" ds:itemID="{F819C10B-9506-4034-9AE0-C2DF9DAE6B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27</vt:i4>
      </vt:variant>
    </vt:vector>
  </HeadingPairs>
  <TitlesOfParts>
    <vt:vector size="40" baseType="lpstr">
      <vt:lpstr>Delivery note</vt:lpstr>
      <vt:lpstr>CSIB_CASABISIRB.MELD</vt:lpstr>
      <vt:lpstr>CSIB_CRSABIS_01.MELD</vt:lpstr>
      <vt:lpstr>CSIB_CRSABIS_02.MELD</vt:lpstr>
      <vt:lpstr>CSIB_CRSABIS_03.MELD</vt:lpstr>
      <vt:lpstr>CSIB_CRSABIS_04.MELD</vt:lpstr>
      <vt:lpstr>CSIB_CRSABIS_05.MELD</vt:lpstr>
      <vt:lpstr>CSIB_CRSABIS_06.MELD</vt:lpstr>
      <vt:lpstr>CSIB_CRSABIS_07.MELD</vt:lpstr>
      <vt:lpstr>CSIB_CRFUNDS.MELD</vt:lpstr>
      <vt:lpstr>CSIB_LERA_BIS.MELD</vt:lpstr>
      <vt:lpstr>CSIB_MKR_BIS.MELD</vt:lpstr>
      <vt:lpstr>CSIB_CRSABIS.CNTR</vt:lpstr>
      <vt:lpstr>CSIB_CASABISIRB.MELD!Druckbereich</vt:lpstr>
      <vt:lpstr>CSIB_CRFUNDS.MELD!Druckbereich</vt:lpstr>
      <vt:lpstr>CSIB_CRSABIS.CNTR!Druckbereich</vt:lpstr>
      <vt:lpstr>CSIB_CRSABIS_01.MELD!Druckbereich</vt:lpstr>
      <vt:lpstr>CSIB_CRSABIS_02.MELD!Druckbereich</vt:lpstr>
      <vt:lpstr>CSIB_CRSABIS_03.MELD!Druckbereich</vt:lpstr>
      <vt:lpstr>CSIB_CRSABIS_04.MELD!Druckbereich</vt:lpstr>
      <vt:lpstr>CSIB_CRSABIS_05.MELD!Druckbereich</vt:lpstr>
      <vt:lpstr>CSIB_CRSABIS_06.MELD!Druckbereich</vt:lpstr>
      <vt:lpstr>CSIB_CRSABIS_07.MELD!Druckbereich</vt:lpstr>
      <vt:lpstr>CSIB_LERA_BIS.MELD!Druckbereich</vt:lpstr>
      <vt:lpstr>CSIB_MKR_BIS.MELD!Druckbereich</vt:lpstr>
      <vt:lpstr>'Delivery note'!Druckbereich</vt:lpstr>
      <vt:lpstr>CSIB_CASABISIRB.MELD!Drucktitel</vt:lpstr>
      <vt:lpstr>CSIB_CRFUNDS.MELD!Drucktitel</vt:lpstr>
      <vt:lpstr>CSIB_CRSABIS.CNTR!Drucktitel</vt:lpstr>
      <vt:lpstr>CSIB_CRSABIS_01.MELD!Drucktitel</vt:lpstr>
      <vt:lpstr>CSIB_CRSABIS_02.MELD!Drucktitel</vt:lpstr>
      <vt:lpstr>CSIB_CRSABIS_03.MELD!Drucktitel</vt:lpstr>
      <vt:lpstr>CSIB_CRSABIS_04.MELD!Drucktitel</vt:lpstr>
      <vt:lpstr>CSIB_CRSABIS_05.MELD!Drucktitel</vt:lpstr>
      <vt:lpstr>CSIB_CRSABIS_06.MELD!Drucktitel</vt:lpstr>
      <vt:lpstr>CSIB_CRSABIS_07.MELD!Drucktitel</vt:lpstr>
      <vt:lpstr>CSIB_LERA_BIS.MELD!Drucktitel</vt:lpstr>
      <vt:lpstr>CSIB_MKR_BIS.MELD!Drucktitel</vt:lpstr>
      <vt:lpstr>P_Subtitle</vt:lpstr>
      <vt:lpstr>P_Title</vt:lpstr>
    </vt:vector>
  </TitlesOfParts>
  <Company>SNB BNS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CSIB_CRSABIS</dc:title>
  <dc:subject>survey documents</dc:subject>
  <dc:creator>SNB BNS</dc:creator>
  <cp:keywords>SNB, BNS, statistics, surveys, survey documents</cp:keywords>
  <cp:lastModifiedBy>Herzog Monika</cp:lastModifiedBy>
  <cp:lastPrinted>2019-07-11T13:50:13Z</cp:lastPrinted>
  <dcterms:created xsi:type="dcterms:W3CDTF">2003-09-24T12:46:20Z</dcterms:created>
  <dcterms:modified xsi:type="dcterms:W3CDTF">2023-06-08T07:57:23Z</dcterms:modified>
  <cp:category>survey documents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el">
    <vt:lpwstr>CSIB_CASABISIRB, _CRSABIS_01...07, _CRFUNDS, _LERA_BIS, _MKR_BIS</vt:lpwstr>
  </property>
  <property fmtid="{D5CDD505-2E9C-101B-9397-08002B2CF9AE}" pid="3" name="Status">
    <vt:lpwstr>in Arbeit</vt:lpwstr>
  </property>
  <property fmtid="{D5CDD505-2E9C-101B-9397-08002B2CF9AE}" pid="4" name="ContentTypeId">
    <vt:lpwstr>0x0101007D2F1A9EF0CD26458704E34F920B1F40</vt:lpwstr>
  </property>
</Properties>
</file>